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autoCompressPictures="0"/>
  <mc:AlternateContent xmlns:mc="http://schemas.openxmlformats.org/markup-compatibility/2006">
    <mc:Choice Requires="x15">
      <x15ac:absPath xmlns:x15ac="http://schemas.microsoft.com/office/spreadsheetml/2010/11/ac" url="https://beflimited.sharepoint.com/sites/SOCIALCARBON/Shared Documents/General/Social Carbon/Documentation/Methodologies/SCM0005 - Regenerative Agriculture/"/>
    </mc:Choice>
  </mc:AlternateContent>
  <xr:revisionPtr revIDLastSave="0" documentId="8_{D5E30F87-8031-4C7F-9BDB-0E306D0E76CA}" xr6:coauthVersionLast="47" xr6:coauthVersionMax="47" xr10:uidLastSave="{00000000-0000-0000-0000-000000000000}"/>
  <bookViews>
    <workbookView xWindow="-108" yWindow="-108" windowWidth="23256" windowHeight="12456" xr2:uid="{00000000-000D-0000-FFFF-FFFF00000000}"/>
  </bookViews>
  <sheets>
    <sheet name="Instructions" sheetId="24" r:id="rId1"/>
    <sheet name="Data Input" sheetId="26" r:id="rId2"/>
    <sheet name="Carbon Estimates" sheetId="22" r:id="rId3"/>
    <sheet name="Financial Estimates" sheetId="10" r:id="rId4"/>
    <sheet name="Emission Factors" sheetId="27" r:id="rId5"/>
    <sheet name="Calculations" sheetId="29" r:id="rId6"/>
    <sheet name="Lists" sheetId="28" state="hidden" r:id="rId7"/>
    <sheet name="List" sheetId="12"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2" l="1"/>
  <c r="C188" i="29" l="1"/>
  <c r="G188" i="29" s="1"/>
  <c r="D174" i="29"/>
  <c r="C174" i="29"/>
  <c r="G174" i="29" s="1"/>
  <c r="D188" i="29"/>
  <c r="D185" i="29"/>
  <c r="C185" i="29"/>
  <c r="F185" i="29" s="1"/>
  <c r="D182" i="29"/>
  <c r="C182" i="29"/>
  <c r="G182" i="29" s="1"/>
  <c r="D179" i="29"/>
  <c r="C179" i="29"/>
  <c r="F179" i="29" s="1"/>
  <c r="H188" i="29"/>
  <c r="H185" i="29"/>
  <c r="H182" i="29"/>
  <c r="H179" i="29"/>
  <c r="D171" i="29"/>
  <c r="C168" i="29"/>
  <c r="G168" i="29" s="1"/>
  <c r="C171" i="29"/>
  <c r="G171" i="29" s="1"/>
  <c r="H174" i="29"/>
  <c r="H171" i="29"/>
  <c r="D168" i="29"/>
  <c r="H168" i="29"/>
  <c r="D165" i="29"/>
  <c r="C165" i="29"/>
  <c r="E165" i="29" s="1"/>
  <c r="H165" i="29"/>
  <c r="G165" i="29" l="1"/>
  <c r="F165" i="29"/>
  <c r="I165" i="29"/>
  <c r="G179" i="29"/>
  <c r="E188" i="29"/>
  <c r="I188" i="29" s="1"/>
  <c r="E182" i="29"/>
  <c r="I182" i="29" s="1"/>
  <c r="G185" i="29"/>
  <c r="F182" i="29"/>
  <c r="E179" i="29"/>
  <c r="I179" i="29" s="1"/>
  <c r="F188" i="29"/>
  <c r="E185" i="29"/>
  <c r="I185" i="29" s="1"/>
  <c r="E174" i="29"/>
  <c r="I174" i="29" s="1"/>
  <c r="F174" i="29"/>
  <c r="E171" i="29"/>
  <c r="I171" i="29" s="1"/>
  <c r="F171" i="29"/>
  <c r="F168" i="29"/>
  <c r="E168" i="29"/>
  <c r="I168" i="29" s="1"/>
  <c r="J165" i="29" l="1"/>
  <c r="K165" i="29"/>
  <c r="J185" i="29"/>
  <c r="K185" i="29"/>
  <c r="K188" i="29"/>
  <c r="J188" i="29"/>
  <c r="K179" i="29"/>
  <c r="J179" i="29"/>
  <c r="K182" i="29"/>
  <c r="J182" i="29"/>
  <c r="K174" i="29"/>
  <c r="J174" i="29"/>
  <c r="K171" i="29"/>
  <c r="J171" i="29"/>
  <c r="K168" i="29"/>
  <c r="J168" i="29"/>
  <c r="I155" i="29"/>
  <c r="H155" i="29"/>
  <c r="G155" i="29"/>
  <c r="F155" i="29"/>
  <c r="E155" i="29"/>
  <c r="D155" i="29"/>
  <c r="C155" i="29"/>
  <c r="J155" i="29"/>
  <c r="F150" i="29"/>
  <c r="G150" i="29"/>
  <c r="H150" i="29"/>
  <c r="I150" i="29"/>
  <c r="J150" i="29"/>
  <c r="E150" i="29"/>
  <c r="D150" i="29"/>
  <c r="C150" i="29"/>
  <c r="K140" i="29" l="1"/>
  <c r="J140" i="29"/>
  <c r="I140" i="29"/>
  <c r="H140" i="29"/>
  <c r="G140" i="29"/>
  <c r="F140" i="29"/>
  <c r="E140" i="29"/>
  <c r="D140" i="29"/>
  <c r="C140" i="29"/>
  <c r="K135" i="29"/>
  <c r="J135" i="29"/>
  <c r="I135" i="29"/>
  <c r="H135" i="29"/>
  <c r="G135" i="29"/>
  <c r="F135" i="29"/>
  <c r="E135" i="29"/>
  <c r="D135" i="29"/>
  <c r="C135" i="29"/>
  <c r="G125" i="29"/>
  <c r="G124" i="29"/>
  <c r="G123" i="29"/>
  <c r="G122" i="29"/>
  <c r="G121" i="29"/>
  <c r="F125" i="29"/>
  <c r="F124" i="29"/>
  <c r="F123" i="29"/>
  <c r="F122" i="29"/>
  <c r="F121" i="29"/>
  <c r="E125" i="29"/>
  <c r="E124" i="29"/>
  <c r="E123" i="29"/>
  <c r="E122" i="29"/>
  <c r="E121" i="29"/>
  <c r="D125" i="29"/>
  <c r="D124" i="29"/>
  <c r="D123" i="29"/>
  <c r="D122" i="29"/>
  <c r="D121" i="29"/>
  <c r="G116" i="29"/>
  <c r="G115" i="29"/>
  <c r="G114" i="29"/>
  <c r="G113" i="29"/>
  <c r="G112" i="29"/>
  <c r="F116" i="29"/>
  <c r="F115" i="29"/>
  <c r="F114" i="29"/>
  <c r="F113" i="29"/>
  <c r="F112" i="29"/>
  <c r="E116" i="29"/>
  <c r="E115" i="29"/>
  <c r="E114" i="29"/>
  <c r="E113" i="29"/>
  <c r="E112" i="29"/>
  <c r="D116" i="29"/>
  <c r="D115" i="29"/>
  <c r="D114" i="29"/>
  <c r="D113" i="29"/>
  <c r="D112" i="29"/>
  <c r="I125" i="29"/>
  <c r="H125" i="29"/>
  <c r="C125" i="29"/>
  <c r="I124" i="29"/>
  <c r="H124" i="29"/>
  <c r="C124" i="29"/>
  <c r="I123" i="29"/>
  <c r="H123" i="29"/>
  <c r="C123" i="29"/>
  <c r="I122" i="29"/>
  <c r="H122" i="29"/>
  <c r="C122" i="29"/>
  <c r="I121" i="29"/>
  <c r="H121" i="29"/>
  <c r="C121" i="29"/>
  <c r="I116" i="29"/>
  <c r="H116" i="29"/>
  <c r="C116" i="29"/>
  <c r="I115" i="29"/>
  <c r="H115" i="29"/>
  <c r="C115" i="29"/>
  <c r="J115" i="29" s="1"/>
  <c r="I114" i="29"/>
  <c r="H114" i="29"/>
  <c r="C114" i="29"/>
  <c r="I113" i="29"/>
  <c r="H113" i="29"/>
  <c r="C113" i="29"/>
  <c r="I112" i="29"/>
  <c r="H112" i="29"/>
  <c r="C112" i="29"/>
  <c r="G101" i="29"/>
  <c r="G100" i="29"/>
  <c r="G99" i="29"/>
  <c r="G98" i="29"/>
  <c r="G97" i="29"/>
  <c r="F101" i="29"/>
  <c r="F100" i="29"/>
  <c r="F99" i="29"/>
  <c r="F98" i="29"/>
  <c r="F97" i="29"/>
  <c r="E101" i="29"/>
  <c r="E100" i="29"/>
  <c r="E99" i="29"/>
  <c r="E98" i="29"/>
  <c r="E97" i="29"/>
  <c r="H101" i="29"/>
  <c r="I101" i="29"/>
  <c r="H100" i="29"/>
  <c r="I100" i="29"/>
  <c r="H99" i="29"/>
  <c r="I99" i="29"/>
  <c r="H98" i="29"/>
  <c r="I98" i="29"/>
  <c r="H97" i="29"/>
  <c r="I97" i="29"/>
  <c r="I89" i="29"/>
  <c r="I90" i="29"/>
  <c r="I91" i="29"/>
  <c r="I92" i="29"/>
  <c r="I88" i="29"/>
  <c r="H89" i="29"/>
  <c r="H90" i="29"/>
  <c r="H91" i="29"/>
  <c r="H92" i="29"/>
  <c r="H88" i="29"/>
  <c r="D101" i="29"/>
  <c r="D100" i="29"/>
  <c r="D99" i="29"/>
  <c r="D98" i="29"/>
  <c r="D97" i="29"/>
  <c r="C101" i="29"/>
  <c r="C100" i="29"/>
  <c r="C99" i="29"/>
  <c r="C98" i="29"/>
  <c r="C97" i="29"/>
  <c r="G92" i="29"/>
  <c r="G91" i="29"/>
  <c r="G90" i="29"/>
  <c r="G89" i="29"/>
  <c r="G88" i="29"/>
  <c r="F92" i="29"/>
  <c r="F91" i="29"/>
  <c r="F90" i="29"/>
  <c r="F89" i="29"/>
  <c r="F88" i="29"/>
  <c r="E92" i="29"/>
  <c r="E91" i="29"/>
  <c r="E90" i="29"/>
  <c r="E89" i="29"/>
  <c r="E88" i="29"/>
  <c r="D92" i="29"/>
  <c r="D91" i="29"/>
  <c r="D90" i="29"/>
  <c r="D89" i="29"/>
  <c r="D88" i="29"/>
  <c r="C92" i="29"/>
  <c r="C91" i="29"/>
  <c r="C90" i="29"/>
  <c r="C89" i="29"/>
  <c r="C88" i="29"/>
  <c r="J97" i="29" l="1"/>
  <c r="J100" i="29"/>
  <c r="J113" i="29"/>
  <c r="J125" i="29"/>
  <c r="J112" i="29"/>
  <c r="J124" i="29"/>
  <c r="J114" i="29"/>
  <c r="J121" i="29"/>
  <c r="J98" i="29"/>
  <c r="J99" i="29"/>
  <c r="J122" i="29"/>
  <c r="J101" i="29"/>
  <c r="J123" i="29"/>
  <c r="J116" i="29"/>
  <c r="J92" i="29"/>
  <c r="J88" i="29"/>
  <c r="J89" i="29"/>
  <c r="J90" i="29"/>
  <c r="J91" i="29"/>
  <c r="H77" i="29" l="1"/>
  <c r="H76" i="29"/>
  <c r="H75" i="29"/>
  <c r="H74" i="29"/>
  <c r="H73" i="29"/>
  <c r="G77" i="29"/>
  <c r="G76" i="29"/>
  <c r="G75" i="29"/>
  <c r="H68" i="29"/>
  <c r="H67" i="29"/>
  <c r="H66" i="29"/>
  <c r="H65" i="29"/>
  <c r="H64" i="29"/>
  <c r="E77" i="29"/>
  <c r="E76" i="29"/>
  <c r="E75" i="29"/>
  <c r="E74" i="29"/>
  <c r="G74" i="29"/>
  <c r="G73" i="29"/>
  <c r="F77" i="29"/>
  <c r="F76" i="29"/>
  <c r="F75" i="29"/>
  <c r="F74" i="29"/>
  <c r="F73" i="29"/>
  <c r="E73" i="29"/>
  <c r="D77" i="29"/>
  <c r="K77" i="29" s="1"/>
  <c r="D76" i="29"/>
  <c r="K76" i="29" s="1"/>
  <c r="D75" i="29"/>
  <c r="K75" i="29" s="1"/>
  <c r="D74" i="29"/>
  <c r="K74" i="29" s="1"/>
  <c r="D73" i="29"/>
  <c r="K73" i="29" s="1"/>
  <c r="C77" i="29"/>
  <c r="C76" i="29"/>
  <c r="C75" i="29"/>
  <c r="C74" i="29"/>
  <c r="C73" i="29"/>
  <c r="C65" i="29"/>
  <c r="D65" i="29"/>
  <c r="K65" i="29" s="1"/>
  <c r="E65" i="29"/>
  <c r="F65" i="29"/>
  <c r="G65" i="29"/>
  <c r="C66" i="29"/>
  <c r="D66" i="29"/>
  <c r="K66" i="29" s="1"/>
  <c r="E66" i="29"/>
  <c r="F66" i="29"/>
  <c r="G66" i="29"/>
  <c r="C67" i="29"/>
  <c r="D67" i="29"/>
  <c r="K67" i="29" s="1"/>
  <c r="E67" i="29"/>
  <c r="F67" i="29"/>
  <c r="G67" i="29"/>
  <c r="C68" i="29"/>
  <c r="D68" i="29"/>
  <c r="K68" i="29" s="1"/>
  <c r="E68" i="29"/>
  <c r="F68" i="29"/>
  <c r="G68" i="29"/>
  <c r="P12" i="27"/>
  <c r="L150" i="29" s="1"/>
  <c r="C64" i="29"/>
  <c r="J49" i="29"/>
  <c r="J50" i="29"/>
  <c r="J51" i="29"/>
  <c r="J52" i="29"/>
  <c r="J48" i="29"/>
  <c r="C49" i="29"/>
  <c r="C50" i="29"/>
  <c r="C51" i="29"/>
  <c r="C52" i="29"/>
  <c r="C48" i="29"/>
  <c r="N150" i="29" l="1"/>
  <c r="M150" i="29"/>
  <c r="I77" i="29"/>
  <c r="N77" i="29" s="1"/>
  <c r="L165" i="29"/>
  <c r="L174" i="29"/>
  <c r="L179" i="29"/>
  <c r="L188" i="29"/>
  <c r="L168" i="29"/>
  <c r="L171" i="29"/>
  <c r="L182" i="29"/>
  <c r="L185" i="29"/>
  <c r="I76" i="29"/>
  <c r="N76" i="29" s="1"/>
  <c r="S150" i="29"/>
  <c r="L155" i="29"/>
  <c r="N140" i="29"/>
  <c r="AB135" i="29" s="1"/>
  <c r="I75" i="29"/>
  <c r="N75" i="29" s="1"/>
  <c r="L135" i="29"/>
  <c r="S135" i="29" s="1"/>
  <c r="L140" i="29"/>
  <c r="T135" i="29" s="1"/>
  <c r="L115" i="29"/>
  <c r="M135" i="29"/>
  <c r="W135" i="29" s="1"/>
  <c r="M140" i="29"/>
  <c r="X135" i="29" s="1"/>
  <c r="N135" i="29"/>
  <c r="AA135" i="29" s="1"/>
  <c r="L92" i="29"/>
  <c r="L91" i="29"/>
  <c r="L121" i="29"/>
  <c r="L88" i="29"/>
  <c r="L90" i="29"/>
  <c r="L113" i="29"/>
  <c r="L124" i="29"/>
  <c r="L116" i="29"/>
  <c r="L114" i="29"/>
  <c r="L100" i="29"/>
  <c r="L99" i="29"/>
  <c r="L97" i="29"/>
  <c r="L123" i="29"/>
  <c r="L112" i="29"/>
  <c r="L125" i="29"/>
  <c r="L101" i="29"/>
  <c r="L122" i="29"/>
  <c r="L89" i="29"/>
  <c r="L98" i="29"/>
  <c r="I73" i="29"/>
  <c r="N73" i="29" s="1"/>
  <c r="I74" i="29"/>
  <c r="N74" i="29" s="1"/>
  <c r="J76" i="29"/>
  <c r="O76" i="29" s="1"/>
  <c r="J66" i="29"/>
  <c r="O66" i="29" s="1"/>
  <c r="J65" i="29"/>
  <c r="O65" i="29" s="1"/>
  <c r="J67" i="29"/>
  <c r="O67" i="29" s="1"/>
  <c r="I66" i="29"/>
  <c r="N66" i="29" s="1"/>
  <c r="J68" i="29"/>
  <c r="O68" i="29" s="1"/>
  <c r="I65" i="29"/>
  <c r="N65" i="29" s="1"/>
  <c r="J73" i="29"/>
  <c r="O73" i="29" s="1"/>
  <c r="I68" i="29"/>
  <c r="N68" i="29" s="1"/>
  <c r="I67" i="29"/>
  <c r="N67" i="29" s="1"/>
  <c r="J77" i="29"/>
  <c r="O77" i="29" s="1"/>
  <c r="J74" i="29"/>
  <c r="O74" i="29" s="1"/>
  <c r="J75" i="29"/>
  <c r="O75" i="29" s="1"/>
  <c r="Y135" i="29" l="1"/>
  <c r="AC135" i="29"/>
  <c r="U135" i="29"/>
  <c r="N155" i="29"/>
  <c r="AB150" i="29" s="1"/>
  <c r="M155" i="29"/>
  <c r="X150" i="29" s="1"/>
  <c r="S165" i="29"/>
  <c r="AA150" i="29"/>
  <c r="W150" i="29"/>
  <c r="T165" i="29"/>
  <c r="T150" i="29"/>
  <c r="U150" i="29" s="1"/>
  <c r="S112" i="29"/>
  <c r="S88" i="29"/>
  <c r="T112" i="29"/>
  <c r="T88" i="29"/>
  <c r="T73" i="29"/>
  <c r="T64" i="29"/>
  <c r="U165" i="29" l="1"/>
  <c r="C13" i="22" s="1"/>
  <c r="U112" i="29"/>
  <c r="AC150" i="29"/>
  <c r="Y150" i="29"/>
  <c r="C11" i="22"/>
  <c r="U88" i="29"/>
  <c r="L52" i="29"/>
  <c r="L51" i="29"/>
  <c r="L50" i="29"/>
  <c r="L49" i="29"/>
  <c r="K52" i="29"/>
  <c r="K51" i="29"/>
  <c r="K50" i="29"/>
  <c r="K49" i="29"/>
  <c r="L48" i="29"/>
  <c r="K48" i="29"/>
  <c r="E52" i="29"/>
  <c r="E51" i="29"/>
  <c r="E50" i="29"/>
  <c r="E49" i="29"/>
  <c r="D52" i="29"/>
  <c r="D51" i="29"/>
  <c r="D50" i="29"/>
  <c r="D49" i="29"/>
  <c r="E48" i="29"/>
  <c r="D48" i="29"/>
  <c r="F48" i="29" s="1"/>
  <c r="C12" i="22" l="1"/>
  <c r="M51" i="29"/>
  <c r="O51" i="29" s="1"/>
  <c r="M50" i="29"/>
  <c r="O50" i="29" s="1"/>
  <c r="F50" i="29"/>
  <c r="H50" i="29" s="1"/>
  <c r="M52" i="29"/>
  <c r="O52" i="29" s="1"/>
  <c r="H48" i="29"/>
  <c r="M49" i="29"/>
  <c r="O49" i="29" s="1"/>
  <c r="F51" i="29"/>
  <c r="H51" i="29" s="1"/>
  <c r="M48" i="29"/>
  <c r="O48" i="29" s="1"/>
  <c r="F52" i="29"/>
  <c r="H52" i="29" s="1"/>
  <c r="F49" i="29"/>
  <c r="H49" i="29" s="1"/>
  <c r="S48" i="29" l="1"/>
  <c r="T48" i="29"/>
  <c r="U48" i="29" l="1"/>
  <c r="C14" i="22" s="1"/>
  <c r="G64" i="29"/>
  <c r="F64" i="29"/>
  <c r="E64" i="29"/>
  <c r="D64" i="29"/>
  <c r="J64" i="29" l="1"/>
  <c r="I64" i="29"/>
  <c r="N64" i="29" s="1"/>
  <c r="S73" i="29" s="1"/>
  <c r="K64" i="29"/>
  <c r="C37" i="29"/>
  <c r="J37" i="29"/>
  <c r="J32" i="29"/>
  <c r="K21" i="29"/>
  <c r="J21" i="29"/>
  <c r="K18" i="29"/>
  <c r="J18" i="29"/>
  <c r="C32" i="29"/>
  <c r="E15" i="27"/>
  <c r="J15" i="27"/>
  <c r="H15" i="27"/>
  <c r="F15" i="27"/>
  <c r="J13" i="27"/>
  <c r="H13" i="27"/>
  <c r="J9" i="27"/>
  <c r="H9" i="27"/>
  <c r="J10" i="27"/>
  <c r="H10" i="27"/>
  <c r="J11" i="27"/>
  <c r="H11" i="27"/>
  <c r="J12" i="27"/>
  <c r="H12" i="27"/>
  <c r="I37" i="29" l="1"/>
  <c r="H37" i="29"/>
  <c r="F37" i="29"/>
  <c r="E37" i="29"/>
  <c r="L37" i="29" s="1"/>
  <c r="E32" i="29"/>
  <c r="N32" i="29" s="1"/>
  <c r="I32" i="29"/>
  <c r="H32" i="29"/>
  <c r="F32" i="29"/>
  <c r="U73" i="29"/>
  <c r="C9" i="22" s="1"/>
  <c r="O64" i="29"/>
  <c r="S64" i="29" s="1"/>
  <c r="M37" i="29" l="1"/>
  <c r="O37" i="29" s="1"/>
  <c r="N37" i="29"/>
  <c r="L32" i="29"/>
  <c r="M32" i="29"/>
  <c r="S37" i="29"/>
  <c r="U64" i="29"/>
  <c r="C10" i="22" s="1"/>
  <c r="T37" i="29"/>
  <c r="S32" i="29"/>
  <c r="T32" i="29"/>
  <c r="O32" i="29" l="1"/>
  <c r="U37" i="29"/>
  <c r="C8" i="22" s="1"/>
  <c r="U32" i="29" l="1"/>
  <c r="C7" i="22" s="1"/>
  <c r="C21" i="29"/>
  <c r="C18" i="29"/>
  <c r="L18" i="29" l="1"/>
  <c r="M18" i="29" s="1"/>
  <c r="F18" i="29"/>
  <c r="E18" i="29"/>
  <c r="I21" i="29"/>
  <c r="H21" i="29"/>
  <c r="L21" i="29"/>
  <c r="M21" i="29" s="1"/>
  <c r="F21" i="29"/>
  <c r="E21" i="29"/>
  <c r="K10" i="29"/>
  <c r="J10" i="29"/>
  <c r="K13" i="29"/>
  <c r="J13" i="29"/>
  <c r="C13" i="29"/>
  <c r="C10" i="29"/>
  <c r="J4" i="27"/>
  <c r="H4" i="27"/>
  <c r="J8" i="27"/>
  <c r="H8" i="27"/>
  <c r="J6" i="27"/>
  <c r="I18" i="29" s="1"/>
  <c r="H6" i="27"/>
  <c r="H18" i="29" s="1"/>
  <c r="H5" i="27"/>
  <c r="J3" i="27"/>
  <c r="H3" i="27"/>
  <c r="N21" i="29" l="1"/>
  <c r="O21" i="29"/>
  <c r="P21" i="29"/>
  <c r="P18" i="29"/>
  <c r="O18" i="29"/>
  <c r="N18" i="29"/>
  <c r="Q18" i="29" s="1"/>
  <c r="L13" i="29"/>
  <c r="M13" i="29" s="1"/>
  <c r="I13" i="29"/>
  <c r="F13" i="29"/>
  <c r="E13" i="29"/>
  <c r="H13" i="29"/>
  <c r="F10" i="29"/>
  <c r="E10" i="29"/>
  <c r="H10" i="29"/>
  <c r="L10" i="29"/>
  <c r="M10" i="29" s="1"/>
  <c r="I10" i="29"/>
  <c r="Q21" i="29" l="1"/>
  <c r="T10" i="29" s="1"/>
  <c r="N13" i="29"/>
  <c r="P13" i="29"/>
  <c r="O13" i="29"/>
  <c r="P10" i="29"/>
  <c r="O10" i="29"/>
  <c r="N10" i="29"/>
  <c r="E21" i="22"/>
  <c r="F21" i="22"/>
  <c r="G21" i="22"/>
  <c r="H21" i="22"/>
  <c r="I21" i="22"/>
  <c r="J21" i="22"/>
  <c r="K21" i="22"/>
  <c r="L21" i="22"/>
  <c r="M21" i="22"/>
  <c r="D21" i="22"/>
  <c r="Q13" i="29" l="1"/>
  <c r="Q10" i="29"/>
  <c r="S10" i="29" s="1"/>
  <c r="K24" i="22"/>
  <c r="G24" i="22"/>
  <c r="H24" i="22"/>
  <c r="F24" i="22"/>
  <c r="L24" i="22"/>
  <c r="I24" i="22"/>
  <c r="E24" i="22"/>
  <c r="D24" i="22"/>
  <c r="M24" i="22"/>
  <c r="J24" i="22"/>
  <c r="U10" i="29" l="1"/>
  <c r="C6" i="22" s="1"/>
  <c r="C5" i="22" s="1"/>
  <c r="E22" i="22" l="1"/>
  <c r="M22" i="22"/>
  <c r="K22" i="22"/>
  <c r="L22" i="22"/>
  <c r="H22" i="22"/>
  <c r="F22" i="22"/>
  <c r="J22" i="22"/>
  <c r="D22" i="22"/>
  <c r="G22" i="22"/>
  <c r="I22" i="22"/>
  <c r="I23" i="22" s="1"/>
  <c r="I25" i="22" s="1"/>
  <c r="H14" i="10" s="1"/>
  <c r="H25" i="10" s="1"/>
  <c r="J31" i="10"/>
  <c r="J36" i="10" s="1"/>
  <c r="J23" i="22" l="1"/>
  <c r="J25" i="22" s="1"/>
  <c r="I14" i="10" s="1"/>
  <c r="I25" i="10" s="1"/>
  <c r="F23" i="22"/>
  <c r="F25" i="22" s="1"/>
  <c r="E14" i="10" s="1"/>
  <c r="E25" i="10" s="1"/>
  <c r="H23" i="22"/>
  <c r="H25" i="22" s="1"/>
  <c r="G14" i="10" s="1"/>
  <c r="G25" i="10" s="1"/>
  <c r="K23" i="22"/>
  <c r="K25" i="22" s="1"/>
  <c r="J14" i="10" s="1"/>
  <c r="J25" i="10" s="1"/>
  <c r="G23" i="22"/>
  <c r="G25" i="22" s="1"/>
  <c r="F14" i="10" s="1"/>
  <c r="F25" i="10" s="1"/>
  <c r="D23" i="22"/>
  <c r="D25" i="22" s="1"/>
  <c r="C14" i="10" s="1"/>
  <c r="C25" i="10" s="1"/>
  <c r="L23" i="22"/>
  <c r="L25" i="22" s="1"/>
  <c r="K14" i="10" s="1"/>
  <c r="K25" i="10" s="1"/>
  <c r="M23" i="22"/>
  <c r="M25" i="22" s="1"/>
  <c r="L14" i="10" s="1"/>
  <c r="L25" i="10" s="1"/>
  <c r="E23" i="22"/>
  <c r="E25" i="22" s="1"/>
  <c r="D14" i="10" s="1"/>
  <c r="D25" i="10" s="1"/>
  <c r="K31" i="10"/>
  <c r="L31" i="10" l="1"/>
  <c r="K36" i="10"/>
  <c r="C31" i="10"/>
  <c r="L36" i="10" l="1"/>
  <c r="C36" i="10"/>
  <c r="D31" i="10"/>
  <c r="F31" i="10"/>
  <c r="E31" i="10"/>
  <c r="G31" i="10"/>
  <c r="E36" i="10" l="1"/>
  <c r="G36" i="10"/>
  <c r="D36" i="10"/>
  <c r="F36" i="10"/>
  <c r="H31" i="10"/>
  <c r="H36" i="10" l="1"/>
  <c r="I31" i="10"/>
  <c r="I36" i="10" l="1"/>
  <c r="J26" i="10" l="1"/>
  <c r="L26" i="10"/>
  <c r="J35" i="10" l="1"/>
  <c r="J42" i="10" s="1"/>
  <c r="J15" i="10"/>
  <c r="J16" i="10" s="1"/>
  <c r="J17" i="10" s="1"/>
  <c r="J34" i="10" s="1"/>
  <c r="L15" i="10"/>
  <c r="L16" i="10" s="1"/>
  <c r="L17" i="10" s="1"/>
  <c r="L34" i="10" s="1"/>
  <c r="L35" i="10"/>
  <c r="L42" i="10" s="1"/>
  <c r="K26" i="10"/>
  <c r="B29" i="22"/>
  <c r="C29" i="22" s="1"/>
  <c r="J38" i="10" l="1"/>
  <c r="J39" i="10" s="1"/>
  <c r="J40" i="10" s="1"/>
  <c r="J37" i="10"/>
  <c r="L37" i="10"/>
  <c r="L38" i="10"/>
  <c r="L39" i="10" s="1"/>
  <c r="L40" i="10" s="1"/>
  <c r="K35" i="10"/>
  <c r="K42" i="10" s="1"/>
  <c r="K15" i="10"/>
  <c r="K16" i="10" s="1"/>
  <c r="K17" i="10" s="1"/>
  <c r="K34" i="10" s="1"/>
  <c r="K38" i="10" l="1"/>
  <c r="K39" i="10" s="1"/>
  <c r="K40" i="10" s="1"/>
  <c r="K37" i="10"/>
  <c r="D26" i="10" l="1"/>
  <c r="D15" i="10"/>
  <c r="D16" i="10" s="1"/>
  <c r="E26" i="10"/>
  <c r="E15" i="10"/>
  <c r="E16" i="10" s="1"/>
  <c r="C15" i="10"/>
  <c r="C26" i="10"/>
  <c r="C35" i="10" s="1"/>
  <c r="C42" i="10" s="1"/>
  <c r="E17" i="10" l="1"/>
  <c r="E34" i="10" s="1"/>
  <c r="D17" i="10"/>
  <c r="D34" i="10" s="1"/>
  <c r="E35" i="10"/>
  <c r="E42" i="10" s="1"/>
  <c r="D35" i="10"/>
  <c r="D42" i="10" s="1"/>
  <c r="F15" i="10"/>
  <c r="F16" i="10" s="1"/>
  <c r="F26" i="10"/>
  <c r="I26" i="10"/>
  <c r="I15" i="10"/>
  <c r="I16" i="10" s="1"/>
  <c r="G15" i="10"/>
  <c r="G16" i="10" s="1"/>
  <c r="G26" i="10"/>
  <c r="C16" i="10"/>
  <c r="H26" i="10"/>
  <c r="H15" i="10"/>
  <c r="I17" i="10" l="1"/>
  <c r="I34" i="10" s="1"/>
  <c r="C17" i="10"/>
  <c r="C34" i="10" s="1"/>
  <c r="G17" i="10"/>
  <c r="G34" i="10" s="1"/>
  <c r="F17" i="10"/>
  <c r="F34" i="10" s="1"/>
  <c r="D38" i="10"/>
  <c r="D37" i="10"/>
  <c r="E37" i="10"/>
  <c r="E38" i="10"/>
  <c r="H35" i="10"/>
  <c r="H42" i="10" s="1"/>
  <c r="I35" i="10"/>
  <c r="I42" i="10" s="1"/>
  <c r="G35" i="10"/>
  <c r="G42" i="10" s="1"/>
  <c r="F35" i="10"/>
  <c r="F42" i="10" s="1"/>
  <c r="H16" i="10"/>
  <c r="H17" i="10" l="1"/>
  <c r="H34" i="10" s="1"/>
  <c r="G38" i="10"/>
  <c r="G37" i="10"/>
  <c r="F38" i="10"/>
  <c r="F37" i="10"/>
  <c r="I38" i="10"/>
  <c r="I37" i="10"/>
  <c r="C37" i="10"/>
  <c r="C38" i="10"/>
  <c r="C39" i="10" s="1"/>
  <c r="D39" i="10"/>
  <c r="D40" i="10" s="1"/>
  <c r="E39" i="10"/>
  <c r="H37" i="10" l="1"/>
  <c r="H38" i="10"/>
  <c r="G39" i="10"/>
  <c r="G40" i="10" s="1"/>
  <c r="I39" i="10"/>
  <c r="I40" i="10" s="1"/>
  <c r="E40" i="10"/>
  <c r="F39" i="10"/>
  <c r="C40" i="10" l="1"/>
  <c r="F40" i="10"/>
  <c r="H39" i="10"/>
  <c r="H40" i="10" l="1"/>
  <c r="C41"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G20" authorId="0" shapeId="0" xr:uid="{00000000-0006-0000-0100-000001000000}">
      <text>
        <r>
          <rPr>
            <b/>
            <sz val="9"/>
            <color indexed="81"/>
            <rFont val="Segoe UI"/>
            <family val="2"/>
          </rPr>
          <t>Pc:</t>
        </r>
        <r>
          <rPr>
            <sz val="9"/>
            <color indexed="81"/>
            <rFont val="Segoe UI"/>
            <family val="2"/>
          </rPr>
          <t xml:space="preserve">
get best value from https://www.ipcc-nggip.iges.or.jp/public/2019rf/pdf/4_Volume4/19R_V4_Ch10_Livestock.pdf Table 10.14</t>
        </r>
      </text>
    </comment>
    <comment ref="K20" authorId="0" shapeId="0" xr:uid="{00000000-0006-0000-0100-000002000000}">
      <text>
        <r>
          <rPr>
            <b/>
            <sz val="9"/>
            <color indexed="81"/>
            <rFont val="Segoe UI"/>
            <family val="2"/>
          </rPr>
          <t>Pc:</t>
        </r>
        <r>
          <rPr>
            <sz val="9"/>
            <color indexed="81"/>
            <rFont val="Segoe UI"/>
            <family val="2"/>
          </rPr>
          <t xml:space="preserve">
get best value from https://www.ipcc-nggip.iges.or.jp/public/2019rf/pdf/4_Volume4/19R_V4_Ch10_Livestock.pdf Table 10.14</t>
        </r>
      </text>
    </comment>
    <comment ref="G25" authorId="0" shapeId="0" xr:uid="{00000000-0006-0000-0100-000003000000}">
      <text>
        <r>
          <rPr>
            <b/>
            <sz val="9"/>
            <color indexed="81"/>
            <rFont val="Segoe UI"/>
            <family val="2"/>
          </rPr>
          <t>Pc:</t>
        </r>
        <r>
          <rPr>
            <sz val="9"/>
            <color indexed="81"/>
            <rFont val="Segoe UI"/>
            <family val="2"/>
          </rPr>
          <t xml:space="preserve">
get best value from https://www.ipcc-nggip.iges.or.jp/public/2019rf/pdf/4_Volume4/19R_V4_Ch10_Livestock.pdf Table 10.14</t>
        </r>
      </text>
    </comment>
    <comment ref="K25" authorId="0" shapeId="0" xr:uid="{00000000-0006-0000-0100-000004000000}">
      <text>
        <r>
          <rPr>
            <b/>
            <sz val="9"/>
            <color indexed="81"/>
            <rFont val="Segoe UI"/>
            <family val="2"/>
          </rPr>
          <t>Pc:</t>
        </r>
        <r>
          <rPr>
            <sz val="9"/>
            <color indexed="81"/>
            <rFont val="Segoe UI"/>
            <family val="2"/>
          </rPr>
          <t xml:space="preserve">
get best value from https://www.ipcc-nggip.iges.or.jp/public/2019rf/pdf/4_Volume4/19R_V4_Ch10_Livestock.pdf Table 10.14</t>
        </r>
      </text>
    </comment>
    <comment ref="G30" authorId="0" shapeId="0" xr:uid="{00000000-0006-0000-0100-000005000000}">
      <text>
        <r>
          <rPr>
            <b/>
            <sz val="9"/>
            <color indexed="81"/>
            <rFont val="Segoe UI"/>
            <family val="2"/>
          </rPr>
          <t>Pc:</t>
        </r>
        <r>
          <rPr>
            <sz val="9"/>
            <color indexed="81"/>
            <rFont val="Segoe UI"/>
            <family val="2"/>
          </rPr>
          <t xml:space="preserve">
get best value from https://www.ipcc-nggip.iges.or.jp/public/2019rf/pdf/4_Volume4/19R_V4_Ch10_Livestock.pdf Table 10.14</t>
        </r>
      </text>
    </comment>
    <comment ref="K30" authorId="0" shapeId="0" xr:uid="{00000000-0006-0000-0100-000006000000}">
      <text>
        <r>
          <rPr>
            <b/>
            <sz val="9"/>
            <color indexed="81"/>
            <rFont val="Segoe UI"/>
            <family val="2"/>
          </rPr>
          <t>Pc:</t>
        </r>
        <r>
          <rPr>
            <sz val="9"/>
            <color indexed="81"/>
            <rFont val="Segoe UI"/>
            <family val="2"/>
          </rPr>
          <t xml:space="preserve">
get best value from https://www.ipcc-nggip.iges.or.jp/public/2019rf/pdf/4_Volume4/19R_V4_Ch10_Livestock.pdf Table 10.14</t>
        </r>
      </text>
    </comment>
    <comment ref="G35" authorId="0" shapeId="0" xr:uid="{00000000-0006-0000-0100-000007000000}">
      <text>
        <r>
          <rPr>
            <b/>
            <sz val="9"/>
            <color indexed="81"/>
            <rFont val="Segoe UI"/>
            <family val="2"/>
          </rPr>
          <t>Pc:</t>
        </r>
        <r>
          <rPr>
            <sz val="9"/>
            <color indexed="81"/>
            <rFont val="Segoe UI"/>
            <family val="2"/>
          </rPr>
          <t xml:space="preserve">
get best value from https://www.ipcc-nggip.iges.or.jp/public/2019rf/pdf/4_Volume4/19R_V4_Ch10_Livestock.pdf Table 10.14</t>
        </r>
      </text>
    </comment>
    <comment ref="K35" authorId="0" shapeId="0" xr:uid="{00000000-0006-0000-0100-000008000000}">
      <text>
        <r>
          <rPr>
            <b/>
            <sz val="9"/>
            <color indexed="81"/>
            <rFont val="Segoe UI"/>
            <family val="2"/>
          </rPr>
          <t>Pc:</t>
        </r>
        <r>
          <rPr>
            <sz val="9"/>
            <color indexed="81"/>
            <rFont val="Segoe UI"/>
            <family val="2"/>
          </rPr>
          <t xml:space="preserve">
get best value from https://www.ipcc-nggip.iges.or.jp/public/2019rf/pdf/4_Volume4/19R_V4_Ch10_Livestock.pdf Table 10.14</t>
        </r>
      </text>
    </comment>
    <comment ref="G40" authorId="0" shapeId="0" xr:uid="{00000000-0006-0000-0100-000009000000}">
      <text>
        <r>
          <rPr>
            <b/>
            <sz val="9"/>
            <color indexed="81"/>
            <rFont val="Segoe UI"/>
            <family val="2"/>
          </rPr>
          <t>Pc:</t>
        </r>
        <r>
          <rPr>
            <sz val="9"/>
            <color indexed="81"/>
            <rFont val="Segoe UI"/>
            <family val="2"/>
          </rPr>
          <t xml:space="preserve">
get best value from https://www.ipcc-nggip.iges.or.jp/public/2019rf/pdf/4_Volume4/19R_V4_Ch10_Livestock.pdf Table 10.14</t>
        </r>
      </text>
    </comment>
    <comment ref="K40" authorId="0" shapeId="0" xr:uid="{00000000-0006-0000-0100-00000A000000}">
      <text>
        <r>
          <rPr>
            <b/>
            <sz val="9"/>
            <color indexed="81"/>
            <rFont val="Segoe UI"/>
            <family val="2"/>
          </rPr>
          <t>Pc:</t>
        </r>
        <r>
          <rPr>
            <sz val="9"/>
            <color indexed="81"/>
            <rFont val="Segoe UI"/>
            <family val="2"/>
          </rPr>
          <t xml:space="preserve">
get best value from https://www.ipcc-nggip.iges.or.jp/public/2019rf/pdf/4_Volume4/19R_V4_Ch10_Livestock.pdf Table 10.14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Pc</author>
  </authors>
  <commentList>
    <comment ref="E2" authorId="0" shapeId="0" xr:uid="{00000000-0006-0000-0400-000001000000}">
      <text>
        <r>
          <rPr>
            <b/>
            <sz val="8"/>
            <color indexed="81"/>
            <rFont val="Tahoma"/>
            <family val="2"/>
          </rPr>
          <t xml:space="preserve"> :</t>
        </r>
        <r>
          <rPr>
            <sz val="8"/>
            <color indexed="81"/>
            <rFont val="Tahoma"/>
            <family val="2"/>
          </rPr>
          <t xml:space="preserve">
IPCC 2006 Volume 2 Ch 1 Table 1.2 - Lower
</t>
        </r>
      </text>
    </comment>
    <comment ref="D15" authorId="1" shapeId="0" xr:uid="{00000000-0006-0000-0400-000002000000}">
      <text>
        <r>
          <rPr>
            <b/>
            <sz val="9"/>
            <color indexed="81"/>
            <rFont val="Segoe UI"/>
            <family val="2"/>
          </rPr>
          <t>Pc:</t>
        </r>
        <r>
          <rPr>
            <sz val="9"/>
            <color indexed="81"/>
            <rFont val="Segoe UI"/>
            <family val="2"/>
          </rPr>
          <t xml:space="preserve">
Wood Waste has a 112000 CO2 emission factor which is higher than "Other Primary Solid Biomass" that has 100000 CO2 Emission Factor. Thus, the more conservative approach was used which is the higher value</t>
        </r>
      </text>
    </comment>
    <comment ref="G20" authorId="1" shapeId="0" xr:uid="{00000000-0006-0000-0400-000003000000}">
      <text>
        <r>
          <rPr>
            <b/>
            <sz val="9"/>
            <color indexed="81"/>
            <rFont val="Segoe UI"/>
            <family val="2"/>
          </rPr>
          <t>Pc:</t>
        </r>
        <r>
          <rPr>
            <sz val="9"/>
            <color indexed="81"/>
            <rFont val="Segoe UI"/>
            <family val="2"/>
          </rPr>
          <t xml:space="preserve">
no data, used swine</t>
        </r>
      </text>
    </comment>
  </commentList>
</comments>
</file>

<file path=xl/sharedStrings.xml><?xml version="1.0" encoding="utf-8"?>
<sst xmlns="http://schemas.openxmlformats.org/spreadsheetml/2006/main" count="895" uniqueCount="325">
  <si>
    <t>Overview</t>
  </si>
  <si>
    <t>Instructions</t>
  </si>
  <si>
    <t>The yellow boxes indicate the areas that should be edited for this model.</t>
  </si>
  <si>
    <t>Baseline</t>
  </si>
  <si>
    <t>Project Estimates</t>
  </si>
  <si>
    <t>Region</t>
  </si>
  <si>
    <t>Project Area (ha)</t>
  </si>
  <si>
    <t>Western Europe</t>
  </si>
  <si>
    <t>Carbon Emissions from mobile fossil fuel combustion</t>
  </si>
  <si>
    <t>Type</t>
  </si>
  <si>
    <t>Consumption/year</t>
  </si>
  <si>
    <t>unit</t>
  </si>
  <si>
    <t>Gasoline</t>
  </si>
  <si>
    <t>liters</t>
  </si>
  <si>
    <t>Carbon Emissions from Stationary fossil fuel combustion</t>
  </si>
  <si>
    <t>Diesel</t>
  </si>
  <si>
    <t>Biomass Burning</t>
  </si>
  <si>
    <t>Mass of Agricultural Residues (kg/year)</t>
  </si>
  <si>
    <t>Livestock</t>
  </si>
  <si>
    <t>Avg Liveweight (kg)</t>
  </si>
  <si>
    <t>Population</t>
  </si>
  <si>
    <t>Sheep</t>
  </si>
  <si>
    <t>Avg Grazing Days/year</t>
  </si>
  <si>
    <t>Methane Emission Factor by Animal Category GCH4 kg VS-1</t>
  </si>
  <si>
    <t xml:space="preserve">Synthetic nitrogen fertiliser </t>
  </si>
  <si>
    <t>Synthetic Fertilizer Name Type (1)</t>
  </si>
  <si>
    <t>N content (t N/t fert) Type (1)</t>
  </si>
  <si>
    <t xml:space="preserve">Ammonium nitrate (1:0:0) </t>
  </si>
  <si>
    <t>Synthetic Fertilizer Amount Used (t/year) Type (1)</t>
  </si>
  <si>
    <t>Synthetic Fertilizer Name Type (2)</t>
  </si>
  <si>
    <t>N content (t N/t fert) Type (2)</t>
  </si>
  <si>
    <t>Fertilizer 2</t>
  </si>
  <si>
    <t>Synthetic Fertilizer Amount Used (t/year) Type (2)</t>
  </si>
  <si>
    <t>Synthetic Fertilizer Name Type (3)</t>
  </si>
  <si>
    <t>N content (t N/t fert) Type (3)</t>
  </si>
  <si>
    <t>Synthetic Fertilizer Amount Used (t/year) Type (3)</t>
  </si>
  <si>
    <t>For farmyard manure produced on farm (if applicable), how much is: </t>
  </si>
  <si>
    <t>Produced and used on farm (t) </t>
  </si>
  <si>
    <t>Bought or otherwise brought onto the farm (t) </t>
  </si>
  <si>
    <t>Produced on farm and sold or otherwise taken off farm (t) </t>
  </si>
  <si>
    <t>Animal type manure is from (%)</t>
  </si>
  <si>
    <t>Cattle </t>
  </si>
  <si>
    <t>Sheep </t>
  </si>
  <si>
    <t>Pig </t>
  </si>
  <si>
    <t>Poultry </t>
  </si>
  <si>
    <t>N fixing species</t>
  </si>
  <si>
    <t>Crop (1)</t>
  </si>
  <si>
    <t>Tonnes of crops/year (1)</t>
  </si>
  <si>
    <t>Generic Crops*</t>
  </si>
  <si>
    <t>Crop (2)</t>
  </si>
  <si>
    <t>Tonnes of crops/year (2)</t>
  </si>
  <si>
    <t>Barley</t>
  </si>
  <si>
    <t>Crop (3)</t>
  </si>
  <si>
    <t>Tonnes of crops/year (3)</t>
  </si>
  <si>
    <t>Grass-Clover Mixtures</t>
  </si>
  <si>
    <t>Crop (4)</t>
  </si>
  <si>
    <t>Tonnes of crops/year (4)</t>
  </si>
  <si>
    <t>Beans and Pulses</t>
  </si>
  <si>
    <t>Assumptions</t>
  </si>
  <si>
    <t>Total Hectares</t>
  </si>
  <si>
    <t>Emissions</t>
  </si>
  <si>
    <t>Carbon Emissions from fossil fuel combustion</t>
  </si>
  <si>
    <t>Methane Emissions from Biomass Burning</t>
  </si>
  <si>
    <t>Nitrous Oxide Emissions from Biomass Burning</t>
  </si>
  <si>
    <t>Methane Emissions from Manure Decomposition</t>
  </si>
  <si>
    <t>Nitrous Oxide Emissions from Manure Deposition</t>
  </si>
  <si>
    <t>Nitrous Oxide Emissions from Synthetic Nitrogen Fertilizers</t>
  </si>
  <si>
    <t>Nitrous Oxide Emissions from Organic Nitrogen Fertilizers</t>
  </si>
  <si>
    <t>Nitrous Oxide Emissions from N-fixing species</t>
  </si>
  <si>
    <t>Methane Emissions from Enteric Fermentation</t>
  </si>
  <si>
    <t>Leakage rate (%)</t>
  </si>
  <si>
    <t>Non-Permanence Risk (%)</t>
  </si>
  <si>
    <t>Estimation of Credits generated</t>
  </si>
  <si>
    <t>Description:</t>
  </si>
  <si>
    <t>Year(s)</t>
  </si>
  <si>
    <t>Removals from SOC</t>
  </si>
  <si>
    <t xml:space="preserve">Leakage </t>
  </si>
  <si>
    <t>Non-Permanence Risk</t>
  </si>
  <si>
    <t>Net Emission Removals (tCO2e)</t>
  </si>
  <si>
    <t>Estimated Project Totals</t>
  </si>
  <si>
    <t>10 year cumulative emission removal credits generated (tCO2eq)</t>
  </si>
  <si>
    <t>10 year average emissions removals (tCO2eq / year)</t>
  </si>
  <si>
    <t>Description</t>
  </si>
  <si>
    <t>Value</t>
  </si>
  <si>
    <t>Explanation</t>
  </si>
  <si>
    <t>Sale Price of credits ($)</t>
  </si>
  <si>
    <t>Estimated price per credit at time of sale</t>
  </si>
  <si>
    <t>Certification fee  ($/tCO2e)</t>
  </si>
  <si>
    <t>Total issuance fees charged by SOCIALCARBON</t>
  </si>
  <si>
    <t>Sales Tax (if applicable) (%)</t>
  </si>
  <si>
    <t>Tax on net income (if applicable) (%)</t>
  </si>
  <si>
    <t>Expected Revenues</t>
  </si>
  <si>
    <t>Year 1</t>
  </si>
  <si>
    <t>Year 2</t>
  </si>
  <si>
    <t>Year 3</t>
  </si>
  <si>
    <t>Year 4</t>
  </si>
  <si>
    <t>Year 5</t>
  </si>
  <si>
    <t>Year 6</t>
  </si>
  <si>
    <t>Year 7</t>
  </si>
  <si>
    <t>Year 8</t>
  </si>
  <si>
    <t>Year 9</t>
  </si>
  <si>
    <t>Year 10</t>
  </si>
  <si>
    <t>Gross income</t>
  </si>
  <si>
    <t>Credits generated</t>
  </si>
  <si>
    <t>Gross Revenue from sale of credits</t>
  </si>
  <si>
    <t>Sales Tax</t>
  </si>
  <si>
    <t>Revenue after Sales Tax</t>
  </si>
  <si>
    <t>Carbon Project Cycle Costs</t>
  </si>
  <si>
    <t>Project Design Document (PDD)</t>
  </si>
  <si>
    <t>Validation (Audit PDD)</t>
  </si>
  <si>
    <t>Verification (Audit monitoring reports)</t>
  </si>
  <si>
    <t>Registry fees</t>
  </si>
  <si>
    <t>Issuance fees</t>
  </si>
  <si>
    <t>Total Project Cycle Costs</t>
  </si>
  <si>
    <t>Project Implementation Costs</t>
  </si>
  <si>
    <t>Implementation costs</t>
  </si>
  <si>
    <t>Total Implementation Costs</t>
  </si>
  <si>
    <t xml:space="preserve">Financial Analysis </t>
  </si>
  <si>
    <t>Operational Result (EBITDA) including implementation costs</t>
  </si>
  <si>
    <t>Net income before tax</t>
  </si>
  <si>
    <t>Income tax</t>
  </si>
  <si>
    <t>Net income after tax</t>
  </si>
  <si>
    <t>Total costs</t>
  </si>
  <si>
    <t>IPCC V2_Ch2 Stationary Combustion Table 2.5 Default Values</t>
  </si>
  <si>
    <t>NCV (net calorific value) inferior (TJ/t)</t>
  </si>
  <si>
    <t>CO2</t>
  </si>
  <si>
    <t>CH4</t>
  </si>
  <si>
    <t>N2O</t>
  </si>
  <si>
    <t>Mobile</t>
  </si>
  <si>
    <t>Biodiesel</t>
  </si>
  <si>
    <t>tCO2/TJ</t>
  </si>
  <si>
    <t>tCH4/TJ</t>
  </si>
  <si>
    <t>tN2O/TJ</t>
  </si>
  <si>
    <t>Fuel Density</t>
  </si>
  <si>
    <t>kg/l</t>
  </si>
  <si>
    <t>DEFRA (proporção brasileira)</t>
  </si>
  <si>
    <t>Other Liquid Biofuels</t>
  </si>
  <si>
    <t>Ethanol</t>
  </si>
  <si>
    <t>DEFRA</t>
  </si>
  <si>
    <t>Liquefied Petroleum Gases</t>
  </si>
  <si>
    <t>Cavalcante, Raquel M. 2010 PREDIÇÃO DA DENSIDADE DE BIODIESEL PROVENIENTE DE DIFERENTES
MATÉRIAS-PRIMAS</t>
  </si>
  <si>
    <t>Aviation Kerosene</t>
  </si>
  <si>
    <t>Liquefied Petroleum Gas</t>
  </si>
  <si>
    <t>Stationary</t>
  </si>
  <si>
    <t>GWP</t>
  </si>
  <si>
    <t>N2O - N to N2O (44/28)</t>
  </si>
  <si>
    <r>
      <t>CO</t>
    </r>
    <r>
      <rPr>
        <vertAlign val="subscript"/>
        <sz val="10"/>
        <rFont val="Arial"/>
        <family val="2"/>
      </rPr>
      <t>2</t>
    </r>
  </si>
  <si>
    <t>IPCC Fifth AR (2014)</t>
  </si>
  <si>
    <r>
      <t>CH</t>
    </r>
    <r>
      <rPr>
        <vertAlign val="subscript"/>
        <sz val="10"/>
        <rFont val="Arial"/>
        <family val="2"/>
      </rPr>
      <t>4</t>
    </r>
  </si>
  <si>
    <r>
      <t>N</t>
    </r>
    <r>
      <rPr>
        <vertAlign val="subscript"/>
        <sz val="10"/>
        <rFont val="Arial"/>
        <family val="2"/>
      </rPr>
      <t>2</t>
    </r>
    <r>
      <rPr>
        <sz val="10"/>
        <rFont val="Arial"/>
        <family val="2"/>
      </rPr>
      <t>O</t>
    </r>
  </si>
  <si>
    <t>Wood/Wood Waste</t>
  </si>
  <si>
    <t>https://www.ipcc-nggip.iges.or.jp/public/2019rf/pdf/4_Volume4/19R_V4_Ch10_Livestock.pdf</t>
  </si>
  <si>
    <t>Table 10.10 and Table 10.11</t>
  </si>
  <si>
    <t xml:space="preserve">Enteric Fermentation (kgCH4head-1yr-1) </t>
  </si>
  <si>
    <t>Dairy Cattle</t>
  </si>
  <si>
    <t>Non Dairy Cattle</t>
  </si>
  <si>
    <t>Swine</t>
  </si>
  <si>
    <t>Poultry</t>
  </si>
  <si>
    <t>Goats</t>
  </si>
  <si>
    <t>Horses</t>
  </si>
  <si>
    <t>North America</t>
  </si>
  <si>
    <t>Eastern Europe</t>
  </si>
  <si>
    <t>Oceania</t>
  </si>
  <si>
    <t>1.5</t>
  </si>
  <si>
    <t>Latin America</t>
  </si>
  <si>
    <t>Africa</t>
  </si>
  <si>
    <t>Middle East</t>
  </si>
  <si>
    <t>Asia</t>
  </si>
  <si>
    <t>Table 10.19</t>
  </si>
  <si>
    <t>DEFAULT VALUES FOR NITROGEN EXCRETION RATE a (KG N (1000 KG ANIMAL MASS) -1 DAY-1)</t>
  </si>
  <si>
    <t>Other Cattle</t>
  </si>
  <si>
    <t>https://www.ipcc-nggip.iges.or.jp/public/2006gl/pdf/4_Volume4/V4_11_Ch11_N2O&amp;CO2.pdf</t>
  </si>
  <si>
    <t>table 11.1</t>
  </si>
  <si>
    <t>DEFAULT EMISSION FACTORS TO ESTIMATE DIRECT N2O EMISSIONS FROM MANAGED SOILS</t>
  </si>
  <si>
    <t>Table 10.13a</t>
  </si>
  <si>
    <t>DEFAULT VALUES FOR VOLATILE SOLID EXCRETION RATE (KG VS (1000 KG ANIMAL MASS)-1 DAY-1 )</t>
  </si>
  <si>
    <t>https://www.ipcc-nggip.iges.or.jp/public/2019rf/pdf/4_Volume4/19R_V4_Ch11_Soils_N2O_CO2.pdf</t>
  </si>
  <si>
    <t>table 11.3</t>
  </si>
  <si>
    <t>DEFAULT EMISSION, VOLATILISATION AND LEACHING FACTORS FOR INDIRECT SOIL N2O EMISSIONS</t>
  </si>
  <si>
    <t>EF4 [N volatilisation and redeposition]1 , kg N2O–N (kg NH3–N + NOX–N volatilised)-1</t>
  </si>
  <si>
    <t>EF5 [leaching/runoff]2 , kg N2O–N (kg N leaching/runoff)-1</t>
  </si>
  <si>
    <t xml:space="preserve">FracGASF [Volatilisation from synthetic fertiliser]3 , (kg NH3–N + NOx–N) (kg N applied)–1 </t>
  </si>
  <si>
    <t>FracGASM [Volatilisation from all organic N fertilisers applied, and dung and urine deposited by grazing animals]4 , (kg NH3–N + NOx–N) (kg N applied or deposited)–1</t>
  </si>
  <si>
    <t>FracLEACH-(H) [N losses by leaching/runoff in wet climates]5 , kg N (kg N additions or deposition by grazing animals)-1</t>
  </si>
  <si>
    <t>EF1 for N additions from synthetic fertilisers, organic amendments and crop residues, and N mineralised from mineral soil as a result of loss of soil carbon1 [kg N2O–N (kg N)-1 ]</t>
  </si>
  <si>
    <t>Disaggregated</t>
  </si>
  <si>
    <t>Default Value</t>
  </si>
  <si>
    <t>Uncertainty range</t>
  </si>
  <si>
    <t>Aggregated</t>
  </si>
  <si>
    <t>Synthetic fertiliser inputs in wet climates</t>
  </si>
  <si>
    <t>0,013-0,019</t>
  </si>
  <si>
    <t>Other N inputs in wet climates</t>
  </si>
  <si>
    <t>0,001-0,011</t>
  </si>
  <si>
    <t>All N inputs in dry climates</t>
  </si>
  <si>
    <t>0,000-0,011</t>
  </si>
  <si>
    <t>EF3PRP, CPP for cattle (dairy, nondairy and buffalo), poultry and pigs3 [kg N2O–N (kg N)-1]</t>
  </si>
  <si>
    <t>Wet Climate</t>
  </si>
  <si>
    <t>0,000-0,0026</t>
  </si>
  <si>
    <t>Single and multiple drainage</t>
  </si>
  <si>
    <t>0,000-0,006</t>
  </si>
  <si>
    <t>EF3PRP, SO for sheep and ‘other animals’3 [kg N2O–N (kg N)-1 ]</t>
  </si>
  <si>
    <t>EF1FR for flooded rice fields2,7 [kg N2O–N (kg N)-1 ]</t>
  </si>
  <si>
    <t>Continuos flooding</t>
  </si>
  <si>
    <t>0,000-0,010</t>
  </si>
  <si>
    <t>https://ahdb.org.uk/knowledge-library/using-farmyard-manure-fym</t>
  </si>
  <si>
    <t>slurry</t>
  </si>
  <si>
    <t>t N/t fertilizer</t>
  </si>
  <si>
    <t>cattle</t>
  </si>
  <si>
    <t>sheep, poultry, pig</t>
  </si>
  <si>
    <t>cattle slurry</t>
  </si>
  <si>
    <t>table 11.1a</t>
  </si>
  <si>
    <t>(NEW) DEFAULT VALUES FOR N AG(T), N BG(T), R AG(T), RS (T) AND DRY</t>
  </si>
  <si>
    <t>Crops</t>
  </si>
  <si>
    <t>N content of above-ground residues</t>
  </si>
  <si>
    <t>N content of below-ground residues</t>
  </si>
  <si>
    <t>Dry matter fraction of harvested product</t>
  </si>
  <si>
    <t>Generic Grains</t>
  </si>
  <si>
    <t>Winter Wheat</t>
  </si>
  <si>
    <t>Spring Wheat</t>
  </si>
  <si>
    <t>Oats</t>
  </si>
  <si>
    <t>Maize</t>
  </si>
  <si>
    <t>Rye</t>
  </si>
  <si>
    <t>Rice</t>
  </si>
  <si>
    <t>Millet</t>
  </si>
  <si>
    <t>Sorghum</t>
  </si>
  <si>
    <t>Soybeans</t>
  </si>
  <si>
    <t>Potatoes and Tubers</t>
  </si>
  <si>
    <t>Peanuts</t>
  </si>
  <si>
    <t>Alfafa</t>
  </si>
  <si>
    <t>Non-legumes</t>
  </si>
  <si>
    <t>N-fixing forages</t>
  </si>
  <si>
    <t>Non N-fixing forages</t>
  </si>
  <si>
    <t>Perennial Grasses</t>
  </si>
  <si>
    <t>kg to ton</t>
  </si>
  <si>
    <r>
      <t>NCV fuel (TJ/t</t>
    </r>
    <r>
      <rPr>
        <b/>
        <sz val="9"/>
        <color indexed="9"/>
        <rFont val="Arial"/>
        <family val="2"/>
      </rPr>
      <t>) (2)</t>
    </r>
  </si>
  <si>
    <t>Emission Factor C (tC/TJ) (4)</t>
  </si>
  <si>
    <r>
      <t xml:space="preserve">Oxidation Factor (%) </t>
    </r>
    <r>
      <rPr>
        <b/>
        <vertAlign val="superscript"/>
        <sz val="9"/>
        <color indexed="9"/>
        <rFont val="Arial"/>
        <family val="2"/>
      </rPr>
      <t>(4)</t>
    </r>
  </si>
  <si>
    <r>
      <t>Emission Factor CH</t>
    </r>
    <r>
      <rPr>
        <b/>
        <vertAlign val="subscript"/>
        <sz val="9"/>
        <color indexed="9"/>
        <rFont val="Arial"/>
        <family val="2"/>
      </rPr>
      <t>4</t>
    </r>
    <r>
      <rPr>
        <b/>
        <sz val="9"/>
        <color indexed="9"/>
        <rFont val="Arial"/>
        <family val="2"/>
      </rPr>
      <t xml:space="preserve"> (t/TJ)</t>
    </r>
  </si>
  <si>
    <r>
      <t>Emission Factor N</t>
    </r>
    <r>
      <rPr>
        <b/>
        <vertAlign val="subscript"/>
        <sz val="9"/>
        <color indexed="9"/>
        <rFont val="Arial"/>
        <family val="2"/>
      </rPr>
      <t>2</t>
    </r>
    <r>
      <rPr>
        <b/>
        <sz val="9"/>
        <color indexed="9"/>
        <rFont val="Arial"/>
        <family val="2"/>
      </rPr>
      <t>O (t/TJ)</t>
    </r>
  </si>
  <si>
    <t>Consumption</t>
  </si>
  <si>
    <t>Unit</t>
  </si>
  <si>
    <t>Density</t>
  </si>
  <si>
    <t>Consumption in kg</t>
  </si>
  <si>
    <r>
      <t>CO</t>
    </r>
    <r>
      <rPr>
        <b/>
        <vertAlign val="subscript"/>
        <sz val="9"/>
        <color rgb="FFAFEE32"/>
        <rFont val="Arial"/>
        <family val="2"/>
      </rPr>
      <t>2</t>
    </r>
    <r>
      <rPr>
        <b/>
        <sz val="9"/>
        <color rgb="FFAFEE32"/>
        <rFont val="Arial"/>
        <family val="2"/>
      </rPr>
      <t xml:space="preserve"> Emissions (t)</t>
    </r>
  </si>
  <si>
    <r>
      <t>CH</t>
    </r>
    <r>
      <rPr>
        <b/>
        <vertAlign val="subscript"/>
        <sz val="9"/>
        <color rgb="FFAFEE32"/>
        <rFont val="Arial"/>
        <family val="2"/>
      </rPr>
      <t>4</t>
    </r>
    <r>
      <rPr>
        <b/>
        <sz val="9"/>
        <color rgb="FFAFEE32"/>
        <rFont val="Arial"/>
        <family val="2"/>
      </rPr>
      <t xml:space="preserve">  Emissions (t)</t>
    </r>
    <r>
      <rPr>
        <b/>
        <vertAlign val="superscript"/>
        <sz val="9"/>
        <color rgb="FFAFEE32"/>
        <rFont val="Arial"/>
        <family val="2"/>
      </rPr>
      <t xml:space="preserve"> </t>
    </r>
  </si>
  <si>
    <r>
      <t>N</t>
    </r>
    <r>
      <rPr>
        <b/>
        <vertAlign val="subscript"/>
        <sz val="9"/>
        <color rgb="FFAFEE32"/>
        <rFont val="Arial"/>
        <family val="2"/>
      </rPr>
      <t>2</t>
    </r>
    <r>
      <rPr>
        <b/>
        <sz val="9"/>
        <color rgb="FFAFEE32"/>
        <rFont val="Arial"/>
        <family val="2"/>
      </rPr>
      <t>O Emissions (t)</t>
    </r>
  </si>
  <si>
    <r>
      <t>CO</t>
    </r>
    <r>
      <rPr>
        <b/>
        <vertAlign val="subscript"/>
        <sz val="9"/>
        <color rgb="FFAFEE32"/>
        <rFont val="Arial"/>
        <family val="2"/>
      </rPr>
      <t>2</t>
    </r>
    <r>
      <rPr>
        <b/>
        <sz val="9"/>
        <color rgb="FFAFEE32"/>
        <rFont val="Arial"/>
        <family val="2"/>
      </rPr>
      <t>e Emissions(t)</t>
    </r>
  </si>
  <si>
    <t>Baseline Fossil Fuel Combustion tCO2e/year</t>
  </si>
  <si>
    <t>Project Estimates Fossil Fuel Combustion tCO2e/year</t>
  </si>
  <si>
    <t>Net Emissions/year</t>
  </si>
  <si>
    <t>Emission Factor C (tC/TJ)</t>
  </si>
  <si>
    <t>Density (kg/l)</t>
  </si>
  <si>
    <r>
      <t>CO</t>
    </r>
    <r>
      <rPr>
        <b/>
        <vertAlign val="subscript"/>
        <sz val="9"/>
        <color rgb="FFAFEE32"/>
        <rFont val="Arial"/>
        <family val="2"/>
      </rPr>
      <t>2</t>
    </r>
    <r>
      <rPr>
        <b/>
        <sz val="9"/>
        <color rgb="FFAFEE32"/>
        <rFont val="Arial"/>
        <family val="2"/>
      </rPr>
      <t xml:space="preserve"> Emissions (t) </t>
    </r>
    <r>
      <rPr>
        <b/>
        <vertAlign val="superscript"/>
        <sz val="9"/>
        <color rgb="FFAFEE32"/>
        <rFont val="Arial"/>
        <family val="2"/>
      </rPr>
      <t>(5)</t>
    </r>
  </si>
  <si>
    <r>
      <t>CH</t>
    </r>
    <r>
      <rPr>
        <b/>
        <vertAlign val="subscript"/>
        <sz val="9"/>
        <color rgb="FFAFEE32"/>
        <rFont val="Arial"/>
        <family val="2"/>
      </rPr>
      <t>4</t>
    </r>
    <r>
      <rPr>
        <b/>
        <sz val="9"/>
        <color rgb="FFAFEE32"/>
        <rFont val="Arial"/>
        <family val="2"/>
      </rPr>
      <t xml:space="preserve">  Emissions
(t)</t>
    </r>
    <r>
      <rPr>
        <b/>
        <vertAlign val="superscript"/>
        <sz val="9"/>
        <color rgb="FFAFEE32"/>
        <rFont val="Arial"/>
        <family val="2"/>
      </rPr>
      <t xml:space="preserve"> (7)</t>
    </r>
  </si>
  <si>
    <r>
      <t>CO</t>
    </r>
    <r>
      <rPr>
        <b/>
        <vertAlign val="subscript"/>
        <sz val="9"/>
        <color rgb="FFAFEE32"/>
        <rFont val="Arial"/>
        <family val="2"/>
      </rPr>
      <t>2</t>
    </r>
    <r>
      <rPr>
        <b/>
        <sz val="9"/>
        <color rgb="FFAFEE32"/>
        <rFont val="Arial"/>
        <family val="2"/>
      </rPr>
      <t xml:space="preserve">e Emissions
(t) </t>
    </r>
    <r>
      <rPr>
        <b/>
        <vertAlign val="superscript"/>
        <sz val="9"/>
        <color rgb="FFAFEE32"/>
        <rFont val="Arial"/>
        <family val="2"/>
      </rPr>
      <t>(8)</t>
    </r>
  </si>
  <si>
    <t>Methane and Nitrogen Emissions from Biomass Burning</t>
  </si>
  <si>
    <t>Baseline Methane Emission  tCO2e/year</t>
  </si>
  <si>
    <t>Project Estimates Methane Emissions  from Biomass Burning tCO2e/year</t>
  </si>
  <si>
    <t>kg</t>
  </si>
  <si>
    <t>Baseline Nitrogen Emission from Biomass Burning tCO2e/year</t>
  </si>
  <si>
    <t>Project Estimates Nitrogen Emissions from Biomass Burning tCO2e/year</t>
  </si>
  <si>
    <t>kgCH4/head/year</t>
  </si>
  <si>
    <t xml:space="preserve"> Baseline Methane Enteric Fermentation Emission tCO2e/year</t>
  </si>
  <si>
    <t>Project Estimates Methane Enteric Fermentation Emissions  tCO2e/year</t>
  </si>
  <si>
    <t>Methane and Nitrogen Emissions from Manure Deposition</t>
  </si>
  <si>
    <t>Average Liveweight (kg)</t>
  </si>
  <si>
    <t>Grazing Days/year</t>
  </si>
  <si>
    <t>Methane Emission Factor by Animal Category (G CH4 KG VS-1)</t>
  </si>
  <si>
    <t>Default Values for Volatile Solid Excretion Rate(KG VS (1000 KG ANIMAL MASS)-1 DAY-1)</t>
  </si>
  <si>
    <t>Default Values for N Excretion Rate(kg N (1000 KG ANIMAL MASS) -1 DAY-1)</t>
  </si>
  <si>
    <t>Default EF to Estimate Directed N2O from Managed Soils</t>
  </si>
  <si>
    <t>G to kg</t>
  </si>
  <si>
    <t>Baseline Nitrous Oxide Emissions from Manure Deposition tCO2e/year</t>
  </si>
  <si>
    <t>Project Estimates Nitrous Oxide Emissions from Manure Deposition  tCO2e/year</t>
  </si>
  <si>
    <r>
      <t>N</t>
    </r>
    <r>
      <rPr>
        <b/>
        <vertAlign val="subscript"/>
        <sz val="9"/>
        <color rgb="FFAFEE32"/>
        <rFont val="Arial"/>
        <family val="2"/>
      </rPr>
      <t>2</t>
    </r>
    <r>
      <rPr>
        <b/>
        <sz val="9"/>
        <color rgb="FFAFEE32"/>
        <rFont val="Arial"/>
        <family val="2"/>
      </rPr>
      <t xml:space="preserve">O Emissions
(t) </t>
    </r>
    <r>
      <rPr>
        <b/>
        <vertAlign val="superscript"/>
        <sz val="9"/>
        <color rgb="FFAFEE32"/>
        <rFont val="Arial"/>
        <family val="2"/>
      </rPr>
      <t>(7)</t>
    </r>
  </si>
  <si>
    <t>Baseline Methane Emission from Manure Deposition tCO2e/year</t>
  </si>
  <si>
    <t>Project Estimates Methane Emission from Manure Deposition tCO2e/year</t>
  </si>
  <si>
    <t>Net Emissions/hectare/year</t>
  </si>
  <si>
    <t>Nitrogen Volatilised Emissions from Manure Deposition</t>
  </si>
  <si>
    <t>Baseline Volatilised Nitrogen Emissions from Manure Deposition tCO2e/year</t>
  </si>
  <si>
    <t>Project Estimates Volatilised Nitrogen from Manure Deposition  tCO2e/year</t>
  </si>
  <si>
    <t>Nitrogen Leached Emissions from Manure Deposition</t>
  </si>
  <si>
    <t>Baseline Leached Nitrogen Emissions from Manure Deposition tCO2e/year</t>
  </si>
  <si>
    <t>Project Estimates Leached Nitrogen from Manure Deposition  tCO2e/year</t>
  </si>
  <si>
    <t>Manufactured fertiliser N2O Emissions</t>
  </si>
  <si>
    <r>
      <t>N</t>
    </r>
    <r>
      <rPr>
        <b/>
        <vertAlign val="subscript"/>
        <sz val="9"/>
        <color rgb="FFAFEE32"/>
        <rFont val="Arial"/>
        <family val="2"/>
      </rPr>
      <t>2</t>
    </r>
    <r>
      <rPr>
        <b/>
        <sz val="9"/>
        <color rgb="FFAFEE32"/>
        <rFont val="Arial"/>
        <family val="2"/>
      </rPr>
      <t>O Volatilised</t>
    </r>
  </si>
  <si>
    <r>
      <t>N</t>
    </r>
    <r>
      <rPr>
        <b/>
        <vertAlign val="subscript"/>
        <sz val="9"/>
        <color rgb="FFAFEE32"/>
        <rFont val="Arial"/>
        <family val="2"/>
      </rPr>
      <t>2</t>
    </r>
    <r>
      <rPr>
        <b/>
        <sz val="9"/>
        <color rgb="FFAFEE32"/>
        <rFont val="Arial"/>
        <family val="2"/>
      </rPr>
      <t>O leached</t>
    </r>
  </si>
  <si>
    <t>Baseline Manufactured fertiliser direct N2O tCO2e/year</t>
  </si>
  <si>
    <t>Project Manufactured fertiliser direct N2O tCO2e/year</t>
  </si>
  <si>
    <t>Baseline Manufactured fertiliser volatilised N2O tCO2e/year</t>
  </si>
  <si>
    <t>Project Manufactured fertiliser volatilised N2O tCO2e/year</t>
  </si>
  <si>
    <t>Baseline Manufactured fertiliser leached N2O tCO2e/year</t>
  </si>
  <si>
    <t>Project Manufactured fertiliser leached N2O tCO2e/year</t>
  </si>
  <si>
    <t>Manure Produced on Farm N2O Emissions</t>
  </si>
  <si>
    <t>Animal type manure is from  Cattle (%)</t>
  </si>
  <si>
    <t>Animal type manure is from  Sheep (%)</t>
  </si>
  <si>
    <t>Animal type manure is from  Pig (%)</t>
  </si>
  <si>
    <t>Animal type manure is from  Poultry (%)</t>
  </si>
  <si>
    <t>Baseline organic fertiliser N2O tCO2e/year</t>
  </si>
  <si>
    <t>Project Estimated organic fertiliser N2O tCO2e/year</t>
  </si>
  <si>
    <t>N2O Emissions from N fixing species</t>
  </si>
  <si>
    <t>Tonnes of crops/year</t>
  </si>
  <si>
    <t>Emission factor for nitrous oxide emissions from N additions from synthetic fertilizers, organic amendments and crop residues; t N2O-N/t N applied</t>
  </si>
  <si>
    <t>Annual dry matter (t)</t>
  </si>
  <si>
    <t>N content of above-ground residues*annual dry matter(t)</t>
  </si>
  <si>
    <t>N content of below-ground residues*annual dry matter (t)</t>
  </si>
  <si>
    <t>Baseline N2O Emissions from N Fixing species tCO2e/year</t>
  </si>
  <si>
    <t>Project Estimated N2O Emissions from N Fixing species tCO2e/year</t>
  </si>
  <si>
    <t>yes</t>
  </si>
  <si>
    <t>Uncovered anaerobic lagoon</t>
  </si>
  <si>
    <t>no</t>
  </si>
  <si>
    <t>m3</t>
  </si>
  <si>
    <t>Liquid/Slurry, Pit storage &gt; 1 month</t>
  </si>
  <si>
    <t>Solid Storage</t>
  </si>
  <si>
    <t>Dry lot</t>
  </si>
  <si>
    <t>Daily spread</t>
  </si>
  <si>
    <t>Other animals</t>
  </si>
  <si>
    <t>Anaerobic Digestion - Biogas</t>
  </si>
  <si>
    <t>Burned for Fuel</t>
  </si>
  <si>
    <t>Yes</t>
  </si>
  <si>
    <t>No</t>
  </si>
  <si>
    <t>Region:</t>
  </si>
  <si>
    <t>Units</t>
  </si>
  <si>
    <t>This feasibility study template has been designed to support project developers using the SOCIALCARBON methodology SCM0005. The purpose of this template is to enable project developers to estimate the number of emission removals/reductions from the project over a 10 year period, along with the forecasted financial results for the period.  
SOCIALCARBON and the Social Carbon Foundation, bears no responsibility for the completeness of this template, nor the results it generates. It is recommended that project developers complete a more detailed feasibility study prior to starting the project.</t>
  </si>
  <si>
    <t>Estimated annual increase in SOC (tCO2e per hectare)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</si>
</sst>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_);_(* \(#,##0\);_(* &quot;-&quot;??_);_(@_)"/>
    <numFmt numFmtId="166" formatCode="#,###%\ &quot;Impostos&quot;"/>
    <numFmt numFmtId="167" formatCode="&quot;Net Present Value&quot;\ \(#,###%\)\ "/>
    <numFmt numFmtId="168" formatCode="&quot;$&quot;#,##0.00"/>
    <numFmt numFmtId="169" formatCode="_-[$$-409]* #,##0.00_ ;_-[$$-409]* \-#,##0.00\ ;_-[$$-409]* &quot;-&quot;??_ ;_-@_ "/>
    <numFmt numFmtId="170" formatCode="_(&quot;K&quot;* #,##0.00_);_(&quot;K&quot;* \(#,##0.00\);_(&quot;K&quot;* &quot;-&quot;??_);_(@_)"/>
    <numFmt numFmtId="171" formatCode="0.000"/>
    <numFmt numFmtId="172" formatCode="0.0000"/>
  </numFmts>
  <fonts count="46" x14ac:knownFonts="1">
    <font>
      <sz val="10"/>
      <name val="Arial"/>
    </font>
    <font>
      <sz val="10"/>
      <name val="Arial"/>
      <family val="2"/>
    </font>
    <font>
      <b/>
      <sz val="10"/>
      <name val="Arial"/>
      <family val="2"/>
    </font>
    <font>
      <sz val="10"/>
      <name val="Arial"/>
      <family val="2"/>
    </font>
    <font>
      <sz val="8"/>
      <name val="Verdana"/>
      <family val="2"/>
    </font>
    <font>
      <sz val="12"/>
      <color theme="1"/>
      <name val="Constantia"/>
      <family val="2"/>
      <scheme val="minor"/>
    </font>
    <font>
      <b/>
      <sz val="10"/>
      <color theme="0"/>
      <name val="Arial"/>
      <family val="2"/>
    </font>
    <font>
      <sz val="10"/>
      <name val="Poppins"/>
    </font>
    <font>
      <b/>
      <sz val="14"/>
      <color theme="0"/>
      <name val="Poppins"/>
    </font>
    <font>
      <b/>
      <sz val="10"/>
      <name val="Poppins"/>
    </font>
    <font>
      <sz val="10"/>
      <color theme="1"/>
      <name val="Poppins"/>
    </font>
    <font>
      <sz val="10"/>
      <color theme="0"/>
      <name val="Poppins"/>
    </font>
    <font>
      <b/>
      <sz val="12"/>
      <color theme="1"/>
      <name val="Poppins"/>
    </font>
    <font>
      <b/>
      <sz val="14"/>
      <color theme="1"/>
      <name val="Poppins"/>
    </font>
    <font>
      <b/>
      <sz val="10"/>
      <color theme="1"/>
      <name val="Poppins"/>
    </font>
    <font>
      <b/>
      <sz val="10"/>
      <color theme="0"/>
      <name val="Poppins"/>
    </font>
    <font>
      <b/>
      <u/>
      <sz val="10"/>
      <name val="Poppins"/>
    </font>
    <font>
      <b/>
      <u/>
      <sz val="10"/>
      <color indexed="8"/>
      <name val="Poppins"/>
    </font>
    <font>
      <sz val="10"/>
      <color indexed="8"/>
      <name val="Poppins"/>
    </font>
    <font>
      <b/>
      <sz val="10"/>
      <color theme="1"/>
      <name val="Arial"/>
      <family val="2"/>
    </font>
    <font>
      <b/>
      <sz val="9"/>
      <color indexed="81"/>
      <name val="Segoe UI"/>
      <family val="2"/>
    </font>
    <font>
      <sz val="9"/>
      <color indexed="81"/>
      <name val="Segoe UI"/>
      <family val="2"/>
    </font>
    <font>
      <vertAlign val="subscript"/>
      <sz val="10"/>
      <name val="Arial"/>
      <family val="2"/>
    </font>
    <font>
      <sz val="9"/>
      <name val="Arial"/>
      <family val="2"/>
    </font>
    <font>
      <b/>
      <sz val="8"/>
      <color indexed="81"/>
      <name val="Tahoma"/>
      <family val="2"/>
    </font>
    <font>
      <sz val="8"/>
      <color indexed="81"/>
      <name val="Tahoma"/>
      <family val="2"/>
    </font>
    <font>
      <b/>
      <sz val="9"/>
      <color theme="0"/>
      <name val="Arial"/>
      <family val="2"/>
    </font>
    <font>
      <b/>
      <sz val="9"/>
      <color indexed="9"/>
      <name val="Arial"/>
      <family val="2"/>
    </font>
    <font>
      <b/>
      <vertAlign val="superscript"/>
      <sz val="9"/>
      <color indexed="9"/>
      <name val="Arial"/>
      <family val="2"/>
    </font>
    <font>
      <b/>
      <sz val="9"/>
      <color rgb="FFFFC000"/>
      <name val="Arial"/>
      <family val="2"/>
    </font>
    <font>
      <b/>
      <vertAlign val="subscript"/>
      <sz val="9"/>
      <color indexed="9"/>
      <name val="Arial"/>
      <family val="2"/>
    </font>
    <font>
      <b/>
      <sz val="9"/>
      <color rgb="FFAFEE32"/>
      <name val="Arial"/>
      <family val="2"/>
    </font>
    <font>
      <b/>
      <vertAlign val="subscript"/>
      <sz val="9"/>
      <color rgb="FFAFEE32"/>
      <name val="Arial"/>
      <family val="2"/>
    </font>
    <font>
      <b/>
      <vertAlign val="superscript"/>
      <sz val="9"/>
      <color rgb="FFAFEE32"/>
      <name val="Arial"/>
      <family val="2"/>
    </font>
    <font>
      <u/>
      <sz val="10"/>
      <color theme="10"/>
      <name val="Arial"/>
      <family val="2"/>
    </font>
    <font>
      <sz val="12"/>
      <color theme="0" tint="-0.34998626667073579"/>
      <name val="Constantia"/>
      <family val="2"/>
      <scheme val="minor"/>
    </font>
    <font>
      <b/>
      <sz val="12"/>
      <color theme="0" tint="-0.34998626667073579"/>
      <name val="Constantia"/>
      <family val="2"/>
      <scheme val="minor"/>
    </font>
    <font>
      <sz val="12"/>
      <color rgb="FF404040"/>
      <name val="Franklin Gothic Medium Cond"/>
      <family val="2"/>
    </font>
    <font>
      <sz val="10"/>
      <color theme="1"/>
      <name val="Arial"/>
      <family val="2"/>
    </font>
    <font>
      <b/>
      <sz val="11"/>
      <color theme="0"/>
      <name val="Poppins"/>
    </font>
    <font>
      <b/>
      <sz val="11"/>
      <color theme="1"/>
      <name val="Poppins"/>
    </font>
    <font>
      <u/>
      <sz val="10"/>
      <color theme="10"/>
      <name val="Poppins"/>
    </font>
    <font>
      <b/>
      <sz val="14"/>
      <name val="Poppins"/>
    </font>
    <font>
      <sz val="14"/>
      <color theme="1"/>
      <name val="Poppins"/>
    </font>
    <font>
      <b/>
      <sz val="12"/>
      <name val="Poppins"/>
    </font>
    <font>
      <b/>
      <sz val="16"/>
      <name val="Poppins"/>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009DDC"/>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FF"/>
        <bgColor rgb="FF000000"/>
      </patternFill>
    </fill>
    <fill>
      <patternFill patternType="solid">
        <fgColor theme="2" tint="-0.89999084444715716"/>
        <bgColor indexed="64"/>
      </patternFill>
    </fill>
    <fill>
      <patternFill patternType="solid">
        <fgColor theme="2" tint="-0.749992370372631"/>
        <bgColor indexed="64"/>
      </patternFill>
    </fill>
    <fill>
      <patternFill patternType="solid">
        <fgColor theme="0" tint="-0.249977111117893"/>
        <bgColor indexed="64"/>
      </patternFill>
    </fill>
    <fill>
      <patternFill patternType="solid">
        <fgColor theme="6"/>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tint="-0.499984740745262"/>
        <bgColor indexed="64"/>
      </patternFill>
    </fill>
  </fills>
  <borders count="10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indexed="64"/>
      </left>
      <right style="medium">
        <color indexed="64"/>
      </right>
      <top style="thin">
        <color indexed="64"/>
      </top>
      <bottom style="medium">
        <color indexed="64"/>
      </bottom>
      <diagonal/>
    </border>
    <border>
      <left style="thin">
        <color indexed="64"/>
      </left>
      <right style="thin">
        <color theme="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medium">
        <color indexed="64"/>
      </right>
      <top style="thin">
        <color theme="1"/>
      </top>
      <bottom style="thin">
        <color theme="1"/>
      </bottom>
      <diagonal/>
    </border>
    <border>
      <left style="medium">
        <color theme="1"/>
      </left>
      <right/>
      <top style="medium">
        <color theme="1"/>
      </top>
      <bottom/>
      <diagonal/>
    </border>
    <border>
      <left style="medium">
        <color theme="1"/>
      </left>
      <right/>
      <top/>
      <bottom style="medium">
        <color theme="1"/>
      </bottom>
      <diagonal/>
    </border>
    <border>
      <left style="medium">
        <color theme="1"/>
      </left>
      <right/>
      <top style="medium">
        <color theme="1"/>
      </top>
      <bottom style="thin">
        <color indexed="64"/>
      </bottom>
      <diagonal/>
    </border>
    <border>
      <left/>
      <right style="medium">
        <color theme="1"/>
      </right>
      <top style="medium">
        <color theme="1"/>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style="medium">
        <color theme="1"/>
      </right>
      <top/>
      <bottom style="medium">
        <color theme="1"/>
      </bottom>
      <diagonal/>
    </border>
    <border>
      <left style="medium">
        <color theme="1"/>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style="medium">
        <color theme="1"/>
      </right>
      <top style="medium">
        <color theme="1"/>
      </top>
      <bottom/>
      <diagonal/>
    </border>
    <border>
      <left style="medium">
        <color theme="1"/>
      </left>
      <right style="thin">
        <color indexed="64"/>
      </right>
      <top/>
      <bottom/>
      <diagonal/>
    </border>
    <border>
      <left style="thin">
        <color indexed="64"/>
      </left>
      <right style="medium">
        <color theme="1"/>
      </right>
      <top/>
      <bottom/>
      <diagonal/>
    </border>
    <border>
      <left style="medium">
        <color theme="1"/>
      </left>
      <right style="thin">
        <color indexed="64"/>
      </right>
      <top style="double">
        <color indexed="64"/>
      </top>
      <bottom style="double">
        <color indexed="64"/>
      </bottom>
      <diagonal/>
    </border>
    <border>
      <left style="thin">
        <color indexed="64"/>
      </left>
      <right style="medium">
        <color theme="1"/>
      </right>
      <top style="double">
        <color indexed="64"/>
      </top>
      <bottom style="double">
        <color indexed="64"/>
      </bottom>
      <diagonal/>
    </border>
    <border>
      <left style="medium">
        <color theme="1"/>
      </left>
      <right style="thin">
        <color indexed="64"/>
      </right>
      <top/>
      <bottom style="medium">
        <color indexed="64"/>
      </bottom>
      <diagonal/>
    </border>
    <border>
      <left style="thin">
        <color indexed="64"/>
      </left>
      <right style="medium">
        <color theme="1"/>
      </right>
      <top/>
      <bottom style="medium">
        <color indexed="64"/>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indexed="64"/>
      </right>
      <top style="double">
        <color indexed="64"/>
      </top>
      <bottom style="medium">
        <color theme="1"/>
      </bottom>
      <diagonal/>
    </border>
    <border>
      <left style="thin">
        <color indexed="64"/>
      </left>
      <right style="thin">
        <color indexed="64"/>
      </right>
      <top style="double">
        <color indexed="64"/>
      </top>
      <bottom style="medium">
        <color theme="1"/>
      </bottom>
      <diagonal/>
    </border>
    <border>
      <left style="thin">
        <color indexed="64"/>
      </left>
      <right style="medium">
        <color theme="1"/>
      </right>
      <top style="double">
        <color indexed="64"/>
      </top>
      <bottom style="medium">
        <color theme="1"/>
      </bottom>
      <diagonal/>
    </border>
    <border>
      <left style="medium">
        <color theme="1"/>
      </left>
      <right style="thin">
        <color indexed="64"/>
      </right>
      <top/>
      <bottom style="double">
        <color indexed="64"/>
      </bottom>
      <diagonal/>
    </border>
    <border>
      <left style="thin">
        <color indexed="64"/>
      </left>
      <right style="medium">
        <color theme="1"/>
      </right>
      <top/>
      <bottom style="double">
        <color indexed="64"/>
      </bottom>
      <diagonal/>
    </border>
    <border>
      <left style="thin">
        <color indexed="64"/>
      </left>
      <right style="medium">
        <color theme="1"/>
      </right>
      <top style="double">
        <color indexed="64"/>
      </top>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indexed="64"/>
      </right>
      <top style="thin">
        <color indexed="64"/>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bottom style="thin">
        <color theme="1"/>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top/>
      <bottom style="medium">
        <color theme="1"/>
      </bottom>
      <diagonal/>
    </border>
    <border>
      <left style="thin">
        <color theme="1"/>
      </left>
      <right style="medium">
        <color indexed="64"/>
      </right>
      <top style="thin">
        <color theme="1"/>
      </top>
      <bottom style="medium">
        <color theme="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8">
    <xf numFmtId="0" fontId="0" fillId="0" borderId="0"/>
    <xf numFmtId="164" fontId="1" fillId="0" borderId="0" applyFont="0" applyFill="0" applyBorder="0" applyAlignment="0" applyProtection="0"/>
    <xf numFmtId="0" fontId="3" fillId="0" borderId="0"/>
    <xf numFmtId="9" fontId="1" fillId="0" borderId="0" applyFont="0" applyFill="0" applyBorder="0" applyAlignment="0" applyProtection="0"/>
    <xf numFmtId="0" fontId="5" fillId="0" borderId="0"/>
    <xf numFmtId="170" fontId="5" fillId="0" borderId="0" applyFont="0" applyFill="0" applyBorder="0" applyAlignment="0" applyProtection="0"/>
    <xf numFmtId="0" fontId="1" fillId="0" borderId="0"/>
    <xf numFmtId="0" fontId="34" fillId="0" borderId="0" applyNumberFormat="0" applyFill="0" applyBorder="0" applyAlignment="0" applyProtection="0"/>
  </cellStyleXfs>
  <cellXfs count="395">
    <xf numFmtId="0" fontId="0" fillId="0" borderId="0" xfId="0"/>
    <xf numFmtId="0" fontId="0" fillId="4" borderId="0" xfId="0" applyFill="1"/>
    <xf numFmtId="0" fontId="1" fillId="4" borderId="0" xfId="0" applyFont="1" applyFill="1"/>
    <xf numFmtId="0" fontId="7" fillId="0" borderId="0" xfId="0" applyFont="1"/>
    <xf numFmtId="0" fontId="9" fillId="4" borderId="70" xfId="0" applyFont="1" applyFill="1" applyBorder="1" applyAlignment="1">
      <alignment vertical="center" wrapText="1"/>
    </xf>
    <xf numFmtId="0" fontId="9" fillId="4" borderId="71" xfId="0" applyFont="1" applyFill="1" applyBorder="1" applyAlignment="1">
      <alignment vertical="center" wrapText="1"/>
    </xf>
    <xf numFmtId="0" fontId="10" fillId="0" borderId="0" xfId="0" applyFont="1"/>
    <xf numFmtId="0" fontId="11" fillId="0" borderId="0" xfId="0" applyFont="1" applyAlignment="1">
      <alignment vertical="center"/>
    </xf>
    <xf numFmtId="0" fontId="7" fillId="0" borderId="0" xfId="0" applyFont="1" applyAlignment="1">
      <alignment vertical="center"/>
    </xf>
    <xf numFmtId="0" fontId="13" fillId="7" borderId="2" xfId="0" applyFont="1" applyFill="1" applyBorder="1" applyAlignment="1">
      <alignment horizontal="center" vertical="center"/>
    </xf>
    <xf numFmtId="0" fontId="13" fillId="7" borderId="40" xfId="0" applyFont="1" applyFill="1" applyBorder="1" applyAlignment="1">
      <alignment horizontal="center" vertical="center"/>
    </xf>
    <xf numFmtId="0" fontId="13" fillId="7" borderId="23" xfId="0" applyFont="1" applyFill="1" applyBorder="1" applyAlignment="1">
      <alignment horizontal="center" vertical="center"/>
    </xf>
    <xf numFmtId="0" fontId="13" fillId="7" borderId="41" xfId="0" applyFont="1" applyFill="1" applyBorder="1" applyAlignment="1">
      <alignment horizontal="center" vertical="center"/>
    </xf>
    <xf numFmtId="0" fontId="9" fillId="0" borderId="27" xfId="0" applyFont="1" applyBorder="1" applyAlignment="1">
      <alignment horizontal="left" vertical="center" wrapText="1"/>
    </xf>
    <xf numFmtId="164" fontId="7" fillId="0" borderId="30" xfId="1" applyFont="1" applyBorder="1" applyAlignment="1" applyProtection="1">
      <alignment horizontal="center" vertical="center"/>
    </xf>
    <xf numFmtId="164" fontId="7" fillId="0" borderId="74" xfId="1" applyFont="1" applyBorder="1" applyAlignment="1" applyProtection="1">
      <alignment horizontal="center" vertical="center"/>
    </xf>
    <xf numFmtId="0" fontId="9" fillId="6" borderId="20" xfId="0" applyFont="1" applyFill="1" applyBorder="1" applyAlignment="1">
      <alignment horizontal="left" vertical="center" wrapText="1"/>
    </xf>
    <xf numFmtId="164" fontId="7" fillId="6" borderId="15" xfId="1" applyFont="1" applyFill="1" applyBorder="1" applyAlignment="1" applyProtection="1">
      <alignment horizontal="center" vertical="center"/>
    </xf>
    <xf numFmtId="164" fontId="7" fillId="6" borderId="16" xfId="1" applyFont="1" applyFill="1" applyBorder="1" applyAlignment="1" applyProtection="1">
      <alignment horizontal="center" vertical="center"/>
    </xf>
    <xf numFmtId="0" fontId="7" fillId="0" borderId="0" xfId="0" applyFont="1" applyAlignment="1">
      <alignment horizontal="left" wrapText="1"/>
    </xf>
    <xf numFmtId="0" fontId="8" fillId="8" borderId="21" xfId="0" applyFont="1" applyFill="1" applyBorder="1" applyAlignment="1">
      <alignment vertical="center"/>
    </xf>
    <xf numFmtId="0" fontId="8" fillId="8" borderId="24" xfId="0" applyFont="1" applyFill="1" applyBorder="1" applyAlignment="1">
      <alignment vertical="center"/>
    </xf>
    <xf numFmtId="0" fontId="10" fillId="7" borderId="1" xfId="0" applyFont="1" applyFill="1" applyBorder="1" applyAlignment="1">
      <alignment horizontal="center" vertical="center" wrapText="1"/>
    </xf>
    <xf numFmtId="0" fontId="10" fillId="7" borderId="41" xfId="0" applyFont="1" applyFill="1" applyBorder="1" applyAlignment="1">
      <alignment horizontal="center" vertical="center" wrapText="1"/>
    </xf>
    <xf numFmtId="165" fontId="9" fillId="0" borderId="7" xfId="1" applyNumberFormat="1" applyFont="1" applyBorder="1" applyAlignment="1" applyProtection="1">
      <alignment horizontal="center" vertical="center" wrapText="1"/>
    </xf>
    <xf numFmtId="165" fontId="9" fillId="0" borderId="39" xfId="1" applyNumberFormat="1" applyFont="1" applyBorder="1" applyAlignment="1" applyProtection="1">
      <alignment horizontal="center" vertical="center" wrapText="1"/>
    </xf>
    <xf numFmtId="164" fontId="7" fillId="0" borderId="0" xfId="1" applyFont="1" applyProtection="1"/>
    <xf numFmtId="0" fontId="7" fillId="4" borderId="0" xfId="0" applyFont="1" applyFill="1"/>
    <xf numFmtId="0" fontId="9" fillId="4" borderId="0" xfId="0" applyFont="1" applyFill="1"/>
    <xf numFmtId="0" fontId="7" fillId="4" borderId="0" xfId="0" applyFont="1" applyFill="1" applyAlignment="1">
      <alignment vertical="center" wrapText="1"/>
    </xf>
    <xf numFmtId="0" fontId="7" fillId="5" borderId="2" xfId="0" applyFont="1" applyFill="1" applyBorder="1"/>
    <xf numFmtId="0" fontId="7" fillId="4" borderId="0" xfId="0" applyFont="1" applyFill="1" applyAlignment="1">
      <alignment vertical="center"/>
    </xf>
    <xf numFmtId="0" fontId="8" fillId="8" borderId="35" xfId="0" applyFont="1" applyFill="1" applyBorder="1" applyAlignment="1">
      <alignment vertical="center" wrapText="1"/>
    </xf>
    <xf numFmtId="0" fontId="8" fillId="8" borderId="36" xfId="0" applyFont="1" applyFill="1" applyBorder="1" applyAlignment="1">
      <alignment vertical="center" wrapText="1"/>
    </xf>
    <xf numFmtId="0" fontId="8" fillId="8" borderId="37" xfId="0" applyFont="1" applyFill="1" applyBorder="1" applyAlignment="1">
      <alignment vertical="center" wrapText="1"/>
    </xf>
    <xf numFmtId="0" fontId="7" fillId="2" borderId="0" xfId="0" applyFont="1" applyFill="1"/>
    <xf numFmtId="0" fontId="14" fillId="7" borderId="38" xfId="0" applyFont="1" applyFill="1" applyBorder="1" applyAlignment="1">
      <alignment wrapText="1"/>
    </xf>
    <xf numFmtId="0" fontId="14" fillId="7" borderId="34" xfId="0" applyFont="1" applyFill="1" applyBorder="1" applyAlignment="1">
      <alignment horizontal="center"/>
    </xf>
    <xf numFmtId="0" fontId="7" fillId="2" borderId="27" xfId="0" applyFont="1" applyFill="1" applyBorder="1" applyAlignment="1">
      <alignment vertical="center"/>
    </xf>
    <xf numFmtId="168" fontId="7" fillId="5" borderId="30" xfId="0" applyNumberFormat="1" applyFont="1" applyFill="1" applyBorder="1" applyAlignment="1" applyProtection="1">
      <alignment horizontal="center" vertical="center"/>
      <protection locked="0"/>
    </xf>
    <xf numFmtId="0" fontId="7" fillId="2" borderId="6" xfId="0" applyFont="1" applyFill="1" applyBorder="1" applyAlignment="1">
      <alignment horizontal="left" vertical="center"/>
    </xf>
    <xf numFmtId="10" fontId="7" fillId="5" borderId="2" xfId="0" applyNumberFormat="1" applyFont="1" applyFill="1" applyBorder="1" applyAlignment="1" applyProtection="1">
      <alignment horizontal="center" vertical="center"/>
      <protection locked="0"/>
    </xf>
    <xf numFmtId="10" fontId="7" fillId="2" borderId="23" xfId="0" applyNumberFormat="1" applyFont="1" applyFill="1" applyBorder="1" applyAlignment="1">
      <alignment horizontal="center" vertical="center" wrapText="1"/>
    </xf>
    <xf numFmtId="10" fontId="7" fillId="2" borderId="33" xfId="0" applyNumberFormat="1" applyFont="1" applyFill="1" applyBorder="1" applyAlignment="1">
      <alignment horizontal="center" vertical="center" wrapText="1"/>
    </xf>
    <xf numFmtId="0" fontId="7" fillId="2" borderId="7" xfId="0" applyFont="1" applyFill="1" applyBorder="1" applyAlignment="1">
      <alignment horizontal="left"/>
    </xf>
    <xf numFmtId="10" fontId="7" fillId="5" borderId="8" xfId="0" applyNumberFormat="1" applyFont="1" applyFill="1" applyBorder="1" applyAlignment="1" applyProtection="1">
      <alignment horizontal="center"/>
      <protection locked="0"/>
    </xf>
    <xf numFmtId="0" fontId="9" fillId="2" borderId="0" xfId="0" applyFont="1" applyFill="1"/>
    <xf numFmtId="0" fontId="16" fillId="2" borderId="54" xfId="0" applyFont="1" applyFill="1" applyBorder="1" applyAlignment="1">
      <alignment vertical="center"/>
    </xf>
    <xf numFmtId="164" fontId="7" fillId="2" borderId="4" xfId="1" applyFont="1" applyFill="1" applyBorder="1" applyAlignment="1" applyProtection="1">
      <alignment vertical="center"/>
    </xf>
    <xf numFmtId="164" fontId="7" fillId="2" borderId="55" xfId="1" applyFont="1" applyFill="1" applyBorder="1" applyAlignment="1" applyProtection="1">
      <alignment vertical="center"/>
    </xf>
    <xf numFmtId="0" fontId="7" fillId="2" borderId="65" xfId="0" applyFont="1" applyFill="1" applyBorder="1" applyAlignment="1">
      <alignment vertical="center"/>
    </xf>
    <xf numFmtId="165" fontId="7" fillId="2" borderId="3" xfId="1" applyNumberFormat="1" applyFont="1" applyFill="1" applyBorder="1" applyAlignment="1" applyProtection="1">
      <alignment horizontal="center" vertical="center"/>
    </xf>
    <xf numFmtId="165" fontId="7" fillId="2" borderId="66" xfId="1" applyNumberFormat="1" applyFont="1" applyFill="1" applyBorder="1" applyAlignment="1" applyProtection="1">
      <alignment horizontal="center" vertical="center"/>
    </xf>
    <xf numFmtId="0" fontId="9" fillId="6" borderId="54" xfId="0" applyFont="1" applyFill="1" applyBorder="1" applyAlignment="1">
      <alignment vertical="center"/>
    </xf>
    <xf numFmtId="169" fontId="7" fillId="6" borderId="17" xfId="1" applyNumberFormat="1" applyFont="1" applyFill="1" applyBorder="1" applyAlignment="1" applyProtection="1">
      <alignment horizontal="center" vertical="center"/>
    </xf>
    <xf numFmtId="169" fontId="7" fillId="6" borderId="67" xfId="1" applyNumberFormat="1" applyFont="1" applyFill="1" applyBorder="1" applyAlignment="1" applyProtection="1">
      <alignment horizontal="center" vertical="center"/>
    </xf>
    <xf numFmtId="169" fontId="7" fillId="6" borderId="4" xfId="1" applyNumberFormat="1" applyFont="1" applyFill="1" applyBorder="1" applyAlignment="1" applyProtection="1">
      <alignment horizontal="center" vertical="center"/>
    </xf>
    <xf numFmtId="169" fontId="7" fillId="6" borderId="55" xfId="1" applyNumberFormat="1" applyFont="1" applyFill="1" applyBorder="1" applyAlignment="1" applyProtection="1">
      <alignment horizontal="center" vertical="center"/>
    </xf>
    <xf numFmtId="0" fontId="9" fillId="6" borderId="48" xfId="0" applyFont="1" applyFill="1" applyBorder="1" applyAlignment="1">
      <alignment vertical="center"/>
    </xf>
    <xf numFmtId="169" fontId="9" fillId="6" borderId="49" xfId="1" applyNumberFormat="1" applyFont="1" applyFill="1" applyBorder="1" applyAlignment="1" applyProtection="1">
      <alignment horizontal="center" vertical="center"/>
    </xf>
    <xf numFmtId="169" fontId="9" fillId="6" borderId="50" xfId="1" applyNumberFormat="1" applyFont="1" applyFill="1" applyBorder="1" applyAlignment="1" applyProtection="1">
      <alignment horizontal="center" vertical="center"/>
    </xf>
    <xf numFmtId="0" fontId="9" fillId="0" borderId="0" xfId="0" applyFont="1"/>
    <xf numFmtId="165" fontId="7" fillId="0" borderId="0" xfId="1" applyNumberFormat="1" applyFont="1" applyFill="1" applyBorder="1" applyAlignment="1" applyProtection="1">
      <alignment horizontal="center"/>
    </xf>
    <xf numFmtId="169" fontId="7" fillId="5" borderId="4" xfId="1" applyNumberFormat="1" applyFont="1" applyFill="1" applyBorder="1" applyAlignment="1" applyProtection="1">
      <alignment horizontal="center" vertical="center"/>
      <protection locked="0"/>
    </xf>
    <xf numFmtId="169" fontId="7" fillId="0" borderId="0" xfId="1" applyNumberFormat="1" applyFont="1" applyFill="1" applyBorder="1" applyAlignment="1" applyProtection="1">
      <alignment horizontal="center" vertical="center"/>
      <protection locked="0"/>
    </xf>
    <xf numFmtId="169" fontId="7" fillId="0" borderId="4" xfId="1" applyNumberFormat="1" applyFont="1" applyFill="1" applyBorder="1" applyAlignment="1" applyProtection="1">
      <alignment horizontal="center" vertical="center"/>
    </xf>
    <xf numFmtId="0" fontId="9" fillId="6" borderId="62" xfId="0" applyFont="1" applyFill="1" applyBorder="1" applyAlignment="1">
      <alignment vertical="center"/>
    </xf>
    <xf numFmtId="169" fontId="9" fillId="6" borderId="63" xfId="1" applyNumberFormat="1" applyFont="1" applyFill="1" applyBorder="1" applyAlignment="1" applyProtection="1">
      <alignment horizontal="center" vertical="center"/>
    </xf>
    <xf numFmtId="169" fontId="9" fillId="6" borderId="64" xfId="1" applyNumberFormat="1" applyFont="1" applyFill="1" applyBorder="1" applyAlignment="1" applyProtection="1">
      <alignment horizontal="center" vertical="center"/>
    </xf>
    <xf numFmtId="0" fontId="9" fillId="0" borderId="0" xfId="0" applyFont="1" applyAlignment="1">
      <alignment vertical="center"/>
    </xf>
    <xf numFmtId="169" fontId="7" fillId="0" borderId="0" xfId="1" applyNumberFormat="1" applyFont="1" applyFill="1" applyBorder="1" applyAlignment="1" applyProtection="1">
      <alignment horizontal="center" vertical="center"/>
    </xf>
    <xf numFmtId="165" fontId="7" fillId="0" borderId="0" xfId="0" applyNumberFormat="1" applyFont="1"/>
    <xf numFmtId="166" fontId="17" fillId="4" borderId="51" xfId="0" applyNumberFormat="1" applyFont="1" applyFill="1" applyBorder="1" applyAlignment="1">
      <alignment horizontal="left"/>
    </xf>
    <xf numFmtId="169" fontId="18" fillId="4" borderId="52" xfId="0" applyNumberFormat="1" applyFont="1" applyFill="1" applyBorder="1" applyAlignment="1">
      <alignment horizontal="center"/>
    </xf>
    <xf numFmtId="169" fontId="18" fillId="4" borderId="53" xfId="0" applyNumberFormat="1" applyFont="1" applyFill="1" applyBorder="1" applyAlignment="1">
      <alignment horizontal="center"/>
    </xf>
    <xf numFmtId="0" fontId="7" fillId="4" borderId="54" xfId="0" applyFont="1" applyFill="1" applyBorder="1" applyAlignment="1">
      <alignment horizontal="left" vertical="center"/>
    </xf>
    <xf numFmtId="169" fontId="7" fillId="4" borderId="4" xfId="1" applyNumberFormat="1" applyFont="1" applyFill="1" applyBorder="1" applyAlignment="1" applyProtection="1">
      <alignment horizontal="center" vertical="center"/>
    </xf>
    <xf numFmtId="169" fontId="7" fillId="4" borderId="55" xfId="1" applyNumberFormat="1" applyFont="1" applyFill="1" applyBorder="1" applyAlignment="1" applyProtection="1">
      <alignment horizontal="center" vertical="center"/>
    </xf>
    <xf numFmtId="0" fontId="7" fillId="4" borderId="56" xfId="0" applyFont="1" applyFill="1" applyBorder="1" applyAlignment="1">
      <alignment horizontal="left" vertical="center" wrapText="1"/>
    </xf>
    <xf numFmtId="169" fontId="7" fillId="4" borderId="26" xfId="1" applyNumberFormat="1" applyFont="1" applyFill="1" applyBorder="1" applyAlignment="1" applyProtection="1">
      <alignment horizontal="center" vertical="center"/>
    </xf>
    <xf numFmtId="169" fontId="7" fillId="4" borderId="57" xfId="1" applyNumberFormat="1" applyFont="1" applyFill="1" applyBorder="1" applyAlignment="1" applyProtection="1">
      <alignment horizontal="center" vertical="center"/>
    </xf>
    <xf numFmtId="0" fontId="7" fillId="4" borderId="54" xfId="0" applyFont="1" applyFill="1" applyBorder="1" applyAlignment="1">
      <alignment horizontal="left" vertical="center" wrapText="1"/>
    </xf>
    <xf numFmtId="0" fontId="9" fillId="6" borderId="58" xfId="0" applyFont="1" applyFill="1" applyBorder="1" applyAlignment="1">
      <alignment horizontal="left" vertical="center" wrapText="1"/>
    </xf>
    <xf numFmtId="169" fontId="9" fillId="6" borderId="15" xfId="1" applyNumberFormat="1" applyFont="1" applyFill="1" applyBorder="1" applyAlignment="1" applyProtection="1">
      <alignment horizontal="center" vertical="center"/>
    </xf>
    <xf numFmtId="169" fontId="9" fillId="6" borderId="59" xfId="1" applyNumberFormat="1" applyFont="1" applyFill="1" applyBorder="1" applyAlignment="1" applyProtection="1">
      <alignment horizontal="center" vertical="center"/>
    </xf>
    <xf numFmtId="167" fontId="9" fillId="3" borderId="48" xfId="0" applyNumberFormat="1" applyFont="1" applyFill="1" applyBorder="1" applyAlignment="1">
      <alignment horizontal="left"/>
    </xf>
    <xf numFmtId="165" fontId="9" fillId="3" borderId="49" xfId="1" applyNumberFormat="1" applyFont="1" applyFill="1" applyBorder="1" applyAlignment="1" applyProtection="1">
      <alignment horizontal="center"/>
    </xf>
    <xf numFmtId="165" fontId="9" fillId="4" borderId="49" xfId="1" applyNumberFormat="1" applyFont="1" applyFill="1" applyBorder="1" applyAlignment="1" applyProtection="1">
      <alignment horizontal="center"/>
    </xf>
    <xf numFmtId="165" fontId="9" fillId="4" borderId="50" xfId="1" applyNumberFormat="1" applyFont="1" applyFill="1" applyBorder="1" applyAlignment="1" applyProtection="1">
      <alignment horizontal="center"/>
    </xf>
    <xf numFmtId="0" fontId="11" fillId="0" borderId="0" xfId="0" applyFont="1"/>
    <xf numFmtId="169" fontId="11" fillId="0" borderId="0" xfId="0" applyNumberFormat="1" applyFont="1"/>
    <xf numFmtId="169" fontId="7" fillId="0" borderId="0" xfId="0" applyNumberFormat="1" applyFont="1"/>
    <xf numFmtId="169" fontId="7" fillId="2" borderId="4" xfId="1" applyNumberFormat="1" applyFont="1" applyFill="1" applyBorder="1" applyAlignment="1" applyProtection="1">
      <alignment horizontal="center" vertical="center"/>
      <protection locked="0"/>
    </xf>
    <xf numFmtId="169" fontId="7" fillId="5" borderId="55" xfId="1" applyNumberFormat="1" applyFont="1" applyFill="1" applyBorder="1" applyAlignment="1" applyProtection="1">
      <alignment horizontal="center" vertical="center"/>
      <protection locked="0"/>
    </xf>
    <xf numFmtId="0" fontId="7" fillId="0" borderId="54" xfId="0" applyFont="1" applyBorder="1" applyAlignment="1" applyProtection="1">
      <alignment vertical="center" wrapText="1"/>
      <protection locked="0"/>
    </xf>
    <xf numFmtId="0" fontId="7" fillId="0" borderId="6" xfId="0" applyFont="1" applyBorder="1" applyAlignment="1">
      <alignment vertical="center"/>
    </xf>
    <xf numFmtId="169" fontId="7" fillId="2" borderId="5" xfId="1" applyNumberFormat="1" applyFont="1" applyFill="1" applyBorder="1" applyAlignment="1" applyProtection="1">
      <alignment horizontal="center" vertical="center"/>
      <protection locked="0"/>
    </xf>
    <xf numFmtId="0" fontId="7" fillId="0" borderId="6" xfId="0" applyFont="1" applyBorder="1" applyAlignment="1">
      <alignment vertical="center" wrapText="1"/>
    </xf>
    <xf numFmtId="169" fontId="7" fillId="5" borderId="5" xfId="1" applyNumberFormat="1" applyFont="1" applyFill="1" applyBorder="1" applyAlignment="1" applyProtection="1">
      <alignment horizontal="center" vertical="center"/>
      <protection locked="0"/>
    </xf>
    <xf numFmtId="169" fontId="7" fillId="0" borderId="5" xfId="1" applyNumberFormat="1" applyFont="1" applyFill="1" applyBorder="1" applyAlignment="1" applyProtection="1">
      <alignment horizontal="center" vertical="center"/>
    </xf>
    <xf numFmtId="0" fontId="9" fillId="6" borderId="18" xfId="0" applyFont="1" applyFill="1" applyBorder="1" applyAlignment="1">
      <alignment vertical="center"/>
    </xf>
    <xf numFmtId="169" fontId="9" fillId="6" borderId="13" xfId="1" applyNumberFormat="1" applyFont="1" applyFill="1" applyBorder="1" applyAlignment="1" applyProtection="1">
      <alignment horizontal="center" vertical="center"/>
    </xf>
    <xf numFmtId="169" fontId="9" fillId="6" borderId="14" xfId="1" applyNumberFormat="1" applyFont="1" applyFill="1" applyBorder="1" applyAlignment="1" applyProtection="1">
      <alignment horizontal="center" vertical="center"/>
    </xf>
    <xf numFmtId="0" fontId="0" fillId="4" borderId="0" xfId="0" applyFill="1" applyAlignment="1">
      <alignment wrapText="1"/>
    </xf>
    <xf numFmtId="0" fontId="0" fillId="4" borderId="0" xfId="0" applyFill="1" applyAlignment="1">
      <alignment vertical="center" wrapText="1"/>
    </xf>
    <xf numFmtId="0" fontId="0" fillId="4" borderId="2" xfId="0" applyFill="1" applyBorder="1"/>
    <xf numFmtId="4" fontId="1" fillId="12" borderId="2" xfId="0" applyNumberFormat="1" applyFont="1" applyFill="1" applyBorder="1" applyAlignment="1">
      <alignment horizontal="right" vertical="center" wrapText="1" indent="1"/>
    </xf>
    <xf numFmtId="0" fontId="19" fillId="10" borderId="75" xfId="0" applyFont="1" applyFill="1" applyBorder="1" applyAlignment="1">
      <alignment horizontal="center" vertical="center"/>
    </xf>
    <xf numFmtId="2" fontId="19" fillId="10" borderId="91" xfId="0" applyNumberFormat="1" applyFont="1" applyFill="1" applyBorder="1" applyAlignment="1">
      <alignment horizontal="center" vertical="center"/>
    </xf>
    <xf numFmtId="0" fontId="19" fillId="10" borderId="92" xfId="0" applyFont="1" applyFill="1" applyBorder="1" applyAlignment="1">
      <alignment horizontal="center" vertical="center"/>
    </xf>
    <xf numFmtId="171" fontId="19" fillId="10" borderId="90" xfId="0" applyNumberFormat="1" applyFont="1" applyFill="1" applyBorder="1" applyAlignment="1">
      <alignment horizontal="center" vertical="center"/>
    </xf>
    <xf numFmtId="0" fontId="19" fillId="10" borderId="91" xfId="0" applyFont="1" applyFill="1" applyBorder="1" applyAlignment="1">
      <alignment horizontal="center" vertical="center"/>
    </xf>
    <xf numFmtId="171" fontId="19" fillId="10" borderId="91" xfId="0" applyNumberFormat="1" applyFont="1" applyFill="1" applyBorder="1" applyAlignment="1">
      <alignment horizontal="center" vertical="center"/>
    </xf>
    <xf numFmtId="2" fontId="0" fillId="7" borderId="93" xfId="0" applyNumberFormat="1" applyFill="1" applyBorder="1" applyAlignment="1">
      <alignment horizontal="center" vertical="center"/>
    </xf>
    <xf numFmtId="0" fontId="0" fillId="7" borderId="93" xfId="0" applyFill="1" applyBorder="1" applyAlignment="1">
      <alignment horizontal="center" vertical="center"/>
    </xf>
    <xf numFmtId="171" fontId="0" fillId="7" borderId="93" xfId="0" applyNumberFormat="1" applyFill="1" applyBorder="1" applyAlignment="1">
      <alignment horizontal="center" vertical="center"/>
    </xf>
    <xf numFmtId="2" fontId="0" fillId="7" borderId="2" xfId="0" applyNumberFormat="1" applyFill="1" applyBorder="1" applyAlignment="1">
      <alignment horizontal="center" vertical="center"/>
    </xf>
    <xf numFmtId="0" fontId="0" fillId="7" borderId="2" xfId="0" applyFill="1" applyBorder="1" applyAlignment="1">
      <alignment horizontal="center" vertical="center"/>
    </xf>
    <xf numFmtId="171" fontId="0" fillId="7" borderId="2" xfId="0" applyNumberFormat="1" applyFill="1" applyBorder="1" applyAlignment="1">
      <alignment horizontal="center" vertical="center"/>
    </xf>
    <xf numFmtId="2" fontId="0" fillId="7" borderId="2" xfId="0" applyNumberFormat="1" applyFill="1" applyBorder="1" applyAlignment="1">
      <alignment horizontal="center" vertical="center" wrapText="1"/>
    </xf>
    <xf numFmtId="0" fontId="0" fillId="0" borderId="2" xfId="0" applyBorder="1" applyAlignment="1">
      <alignment horizontal="center" vertical="center"/>
    </xf>
    <xf numFmtId="171" fontId="0" fillId="7" borderId="2" xfId="0" applyNumberFormat="1" applyFill="1" applyBorder="1" applyAlignment="1">
      <alignment horizontal="center" vertical="center" wrapText="1"/>
    </xf>
    <xf numFmtId="2" fontId="0" fillId="7" borderId="8" xfId="0" applyNumberFormat="1" applyFill="1" applyBorder="1" applyAlignment="1">
      <alignment horizontal="center" vertical="center"/>
    </xf>
    <xf numFmtId="0" fontId="0" fillId="7" borderId="8" xfId="0" applyFill="1" applyBorder="1" applyAlignment="1">
      <alignment horizontal="center" vertical="center"/>
    </xf>
    <xf numFmtId="171" fontId="0" fillId="7" borderId="8" xfId="0" applyNumberFormat="1" applyFill="1" applyBorder="1" applyAlignment="1">
      <alignment horizontal="center" vertical="center"/>
    </xf>
    <xf numFmtId="172" fontId="0" fillId="0" borderId="2" xfId="0" applyNumberFormat="1" applyBorder="1"/>
    <xf numFmtId="0" fontId="0" fillId="0" borderId="2" xfId="0" applyBorder="1"/>
    <xf numFmtId="0" fontId="1" fillId="0" borderId="94" xfId="0" applyFont="1" applyBorder="1"/>
    <xf numFmtId="0" fontId="0" fillId="0" borderId="41" xfId="0" applyBorder="1" applyAlignment="1">
      <alignment vertical="center"/>
    </xf>
    <xf numFmtId="0" fontId="0" fillId="0" borderId="41" xfId="0" applyBorder="1"/>
    <xf numFmtId="0" fontId="0" fillId="0" borderId="94" xfId="0" applyBorder="1"/>
    <xf numFmtId="0" fontId="1" fillId="0" borderId="95" xfId="0" applyFont="1" applyBorder="1" applyAlignment="1">
      <alignment vertical="center"/>
    </xf>
    <xf numFmtId="172" fontId="0" fillId="0" borderId="8" xfId="0" applyNumberFormat="1" applyBorder="1" applyAlignment="1">
      <alignment vertical="center"/>
    </xf>
    <xf numFmtId="0" fontId="0" fillId="0" borderId="8" xfId="0" applyBorder="1" applyAlignment="1">
      <alignment vertical="center"/>
    </xf>
    <xf numFmtId="0" fontId="0" fillId="0" borderId="39" xfId="0" applyBorder="1" applyAlignment="1">
      <alignment vertical="center"/>
    </xf>
    <xf numFmtId="0" fontId="1" fillId="0" borderId="41" xfId="0" applyFont="1" applyBorder="1" applyAlignment="1">
      <alignment wrapText="1"/>
    </xf>
    <xf numFmtId="172" fontId="1" fillId="0" borderId="2" xfId="0" applyNumberFormat="1" applyFont="1" applyBorder="1" applyAlignment="1">
      <alignment horizontal="right"/>
    </xf>
    <xf numFmtId="172" fontId="0" fillId="7" borderId="8" xfId="0" applyNumberFormat="1" applyFill="1" applyBorder="1" applyAlignment="1">
      <alignment horizontal="center" vertical="center"/>
    </xf>
    <xf numFmtId="2" fontId="0" fillId="7" borderId="99" xfId="0" applyNumberFormat="1" applyFill="1" applyBorder="1" applyAlignment="1">
      <alignment horizontal="center" vertical="center"/>
    </xf>
    <xf numFmtId="0" fontId="0" fillId="7" borderId="99" xfId="0" applyFill="1" applyBorder="1" applyAlignment="1">
      <alignment horizontal="center" vertical="center"/>
    </xf>
    <xf numFmtId="172" fontId="0" fillId="7" borderId="99" xfId="0" applyNumberFormat="1" applyFill="1" applyBorder="1" applyAlignment="1">
      <alignment horizontal="center" vertical="center"/>
    </xf>
    <xf numFmtId="0" fontId="2" fillId="0" borderId="80" xfId="0" applyFont="1" applyBorder="1" applyAlignment="1">
      <alignment horizontal="center" vertical="center" wrapText="1"/>
    </xf>
    <xf numFmtId="0" fontId="19" fillId="10" borderId="99" xfId="0" applyFont="1" applyFill="1" applyBorder="1" applyAlignment="1">
      <alignment horizontal="center" vertical="center" wrapText="1"/>
    </xf>
    <xf numFmtId="171" fontId="0" fillId="7" borderId="99" xfId="0" applyNumberFormat="1" applyFill="1" applyBorder="1" applyAlignment="1">
      <alignment horizontal="center" vertical="center"/>
    </xf>
    <xf numFmtId="0" fontId="1" fillId="2" borderId="1" xfId="0" applyFont="1" applyFill="1" applyBorder="1" applyAlignment="1">
      <alignment horizontal="left" vertical="center" wrapText="1" indent="1"/>
    </xf>
    <xf numFmtId="0" fontId="23" fillId="0" borderId="41" xfId="0" applyFont="1" applyBorder="1" applyAlignment="1">
      <alignment horizontal="left" vertical="center" indent="1"/>
    </xf>
    <xf numFmtId="0" fontId="1" fillId="2" borderId="7" xfId="0" applyFont="1" applyFill="1" applyBorder="1" applyAlignment="1">
      <alignment horizontal="left" vertical="center" wrapText="1" indent="1"/>
    </xf>
    <xf numFmtId="4" fontId="1" fillId="12" borderId="8" xfId="0" applyNumberFormat="1" applyFont="1" applyFill="1" applyBorder="1" applyAlignment="1">
      <alignment horizontal="right" vertical="center" wrapText="1" indent="1"/>
    </xf>
    <xf numFmtId="0" fontId="23" fillId="0" borderId="39" xfId="0" applyFont="1" applyBorder="1" applyAlignment="1">
      <alignment horizontal="left" vertical="center" indent="1"/>
    </xf>
    <xf numFmtId="0" fontId="6" fillId="14" borderId="2" xfId="0" applyFont="1" applyFill="1" applyBorder="1" applyAlignment="1">
      <alignment horizontal="center" vertical="center" wrapText="1"/>
    </xf>
    <xf numFmtId="0" fontId="19" fillId="10" borderId="2"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0" fillId="4" borderId="0" xfId="0" applyFill="1" applyAlignment="1">
      <alignment horizontal="center" vertical="center" wrapText="1"/>
    </xf>
    <xf numFmtId="0" fontId="0" fillId="7" borderId="2" xfId="0" applyFill="1" applyBorder="1" applyAlignment="1">
      <alignment horizontal="center" vertical="center" wrapText="1"/>
    </xf>
    <xf numFmtId="2" fontId="26" fillId="13" borderId="2" xfId="2" applyNumberFormat="1" applyFont="1" applyFill="1" applyBorder="1" applyAlignment="1" applyProtection="1">
      <alignment horizontal="center" vertical="center" wrapText="1"/>
      <protection hidden="1"/>
    </xf>
    <xf numFmtId="2" fontId="26" fillId="11" borderId="2" xfId="2" applyNumberFormat="1" applyFont="1" applyFill="1" applyBorder="1" applyAlignment="1" applyProtection="1">
      <alignment horizontal="center" vertical="center" wrapText="1"/>
      <protection hidden="1"/>
    </xf>
    <xf numFmtId="4" fontId="26" fillId="11" borderId="2" xfId="2" applyNumberFormat="1" applyFont="1" applyFill="1" applyBorder="1" applyAlignment="1" applyProtection="1">
      <alignment horizontal="center" vertical="center" wrapText="1"/>
      <protection hidden="1"/>
    </xf>
    <xf numFmtId="2" fontId="31" fillId="11" borderId="2" xfId="2" applyNumberFormat="1" applyFont="1" applyFill="1" applyBorder="1" applyAlignment="1" applyProtection="1">
      <alignment horizontal="center" vertical="center" wrapText="1"/>
      <protection hidden="1"/>
    </xf>
    <xf numFmtId="2" fontId="26" fillId="9" borderId="2" xfId="2" applyNumberFormat="1" applyFont="1" applyFill="1" applyBorder="1" applyAlignment="1" applyProtection="1">
      <alignment horizontal="center" vertical="center" wrapText="1"/>
      <protection hidden="1"/>
    </xf>
    <xf numFmtId="0" fontId="0" fillId="4" borderId="0" xfId="0" applyFill="1" applyAlignment="1">
      <alignment horizontal="center" vertical="center"/>
    </xf>
    <xf numFmtId="0" fontId="0" fillId="10" borderId="2" xfId="0" applyFill="1" applyBorder="1" applyAlignment="1">
      <alignment horizontal="center" vertical="center"/>
    </xf>
    <xf numFmtId="0" fontId="1" fillId="0" borderId="2" xfId="0" applyFont="1" applyBorder="1" applyAlignment="1">
      <alignment horizontal="center"/>
    </xf>
    <xf numFmtId="0" fontId="1" fillId="0" borderId="30" xfId="0" applyFont="1" applyBorder="1" applyAlignment="1">
      <alignment horizontal="center"/>
    </xf>
    <xf numFmtId="172" fontId="0" fillId="7" borderId="2" xfId="0" applyNumberFormat="1" applyFill="1" applyBorder="1" applyAlignment="1">
      <alignment horizontal="center" vertical="center" wrapText="1"/>
    </xf>
    <xf numFmtId="0" fontId="2" fillId="10" borderId="30" xfId="0" applyFont="1" applyFill="1" applyBorder="1" applyAlignment="1">
      <alignment horizontal="center" vertical="center" wrapText="1"/>
    </xf>
    <xf numFmtId="2" fontId="1" fillId="7" borderId="2" xfId="0" applyNumberFormat="1" applyFont="1" applyFill="1" applyBorder="1" applyAlignment="1">
      <alignment horizontal="center" vertical="center"/>
    </xf>
    <xf numFmtId="2" fontId="29" fillId="13" borderId="2" xfId="2" applyNumberFormat="1" applyFont="1" applyFill="1" applyBorder="1" applyAlignment="1" applyProtection="1">
      <alignment horizontal="center" vertical="center" wrapText="1"/>
      <protection hidden="1"/>
    </xf>
    <xf numFmtId="0" fontId="0" fillId="7" borderId="30" xfId="0" applyFill="1" applyBorder="1" applyAlignment="1">
      <alignment horizontal="center" vertical="center"/>
    </xf>
    <xf numFmtId="0" fontId="0" fillId="7" borderId="2" xfId="0" applyFill="1" applyBorder="1"/>
    <xf numFmtId="0" fontId="0" fillId="7" borderId="2" xfId="0" applyFill="1" applyBorder="1" applyAlignment="1">
      <alignment vertical="center"/>
    </xf>
    <xf numFmtId="0" fontId="0" fillId="7" borderId="2" xfId="0" applyFill="1" applyBorder="1" applyAlignment="1">
      <alignment vertical="center" wrapText="1"/>
    </xf>
    <xf numFmtId="0" fontId="0" fillId="7" borderId="30" xfId="0" applyFill="1" applyBorder="1"/>
    <xf numFmtId="0" fontId="0" fillId="7" borderId="30" xfId="0" applyFill="1" applyBorder="1" applyAlignment="1">
      <alignment vertical="center" wrapText="1"/>
    </xf>
    <xf numFmtId="0" fontId="0" fillId="7" borderId="28" xfId="0" applyFill="1" applyBorder="1" applyAlignment="1">
      <alignment vertical="center"/>
    </xf>
    <xf numFmtId="0" fontId="0" fillId="7" borderId="28" xfId="0" applyFill="1" applyBorder="1" applyAlignment="1">
      <alignment horizontal="center" vertical="center"/>
    </xf>
    <xf numFmtId="0" fontId="0" fillId="7" borderId="2" xfId="0" applyFill="1" applyBorder="1" applyAlignment="1">
      <alignment wrapText="1"/>
    </xf>
    <xf numFmtId="0" fontId="9" fillId="4" borderId="80" xfId="0" applyFont="1" applyFill="1" applyBorder="1" applyAlignment="1">
      <alignment vertical="center" wrapText="1"/>
    </xf>
    <xf numFmtId="0" fontId="9" fillId="4" borderId="54" xfId="0" applyFont="1" applyFill="1" applyBorder="1" applyAlignment="1">
      <alignment vertical="center" wrapText="1"/>
    </xf>
    <xf numFmtId="3" fontId="7" fillId="15" borderId="47" xfId="1" applyNumberFormat="1" applyFont="1" applyFill="1" applyBorder="1" applyAlignment="1" applyProtection="1">
      <alignment horizontal="center" vertical="center"/>
    </xf>
    <xf numFmtId="4" fontId="7" fillId="15" borderId="92" xfId="3" applyNumberFormat="1" applyFont="1" applyFill="1" applyBorder="1" applyAlignment="1" applyProtection="1">
      <alignment horizontal="center" vertical="center"/>
    </xf>
    <xf numFmtId="4" fontId="7" fillId="15" borderId="104" xfId="3" applyNumberFormat="1" applyFont="1" applyFill="1" applyBorder="1" applyAlignment="1" applyProtection="1">
      <alignment horizontal="center" vertical="center"/>
    </xf>
    <xf numFmtId="4" fontId="7" fillId="15" borderId="39" xfId="3" applyNumberFormat="1" applyFont="1" applyFill="1" applyBorder="1" applyAlignment="1" applyProtection="1">
      <alignment horizontal="center" vertical="center"/>
    </xf>
    <xf numFmtId="4" fontId="7" fillId="15" borderId="81" xfId="3" applyNumberFormat="1" applyFont="1" applyFill="1" applyBorder="1" applyAlignment="1" applyProtection="1">
      <alignment horizontal="center" vertical="center"/>
    </xf>
    <xf numFmtId="0" fontId="0" fillId="4" borderId="82" xfId="0" applyFill="1" applyBorder="1" applyAlignment="1">
      <alignment horizontal="center" vertical="center" wrapText="1"/>
    </xf>
    <xf numFmtId="0" fontId="0" fillId="4" borderId="86" xfId="0" applyFill="1" applyBorder="1" applyAlignment="1">
      <alignment horizontal="center" vertical="center" wrapText="1"/>
    </xf>
    <xf numFmtId="0" fontId="0" fillId="0" borderId="0" xfId="0" applyAlignment="1">
      <alignment vertical="center" wrapText="1"/>
    </xf>
    <xf numFmtId="0" fontId="0" fillId="0" borderId="30" xfId="0" applyBorder="1" applyAlignment="1">
      <alignment vertical="center" wrapText="1"/>
    </xf>
    <xf numFmtId="0" fontId="0" fillId="4" borderId="83" xfId="0" applyFill="1" applyBorder="1" applyAlignment="1">
      <alignment vertical="center"/>
    </xf>
    <xf numFmtId="0" fontId="0" fillId="4" borderId="1" xfId="0" applyFill="1" applyBorder="1" applyAlignment="1">
      <alignment vertical="center"/>
    </xf>
    <xf numFmtId="0" fontId="0" fillId="4" borderId="7" xfId="0" applyFill="1" applyBorder="1" applyAlignment="1">
      <alignment vertical="center"/>
    </xf>
    <xf numFmtId="0" fontId="0" fillId="7" borderId="84" xfId="0" applyFill="1" applyBorder="1" applyAlignment="1">
      <alignment horizontal="center" vertical="center"/>
    </xf>
    <xf numFmtId="0" fontId="0" fillId="7" borderId="41" xfId="0" applyFill="1" applyBorder="1" applyAlignment="1">
      <alignment horizontal="center" vertical="center"/>
    </xf>
    <xf numFmtId="0" fontId="0" fillId="0" borderId="41" xfId="0" applyBorder="1" applyAlignment="1">
      <alignment horizontal="center" vertical="center"/>
    </xf>
    <xf numFmtId="0" fontId="0" fillId="7" borderId="39" xfId="0" applyFill="1" applyBorder="1" applyAlignment="1">
      <alignment horizontal="center" vertical="center"/>
    </xf>
    <xf numFmtId="0" fontId="0" fillId="7" borderId="81" xfId="0" applyFill="1" applyBorder="1" applyAlignment="1">
      <alignment horizontal="center" vertical="center"/>
    </xf>
    <xf numFmtId="0" fontId="0" fillId="4" borderId="2" xfId="0" applyFill="1" applyBorder="1" applyAlignment="1">
      <alignment horizontal="center" vertical="center"/>
    </xf>
    <xf numFmtId="0" fontId="2" fillId="4" borderId="0" xfId="0" applyFont="1" applyFill="1" applyAlignment="1">
      <alignment horizontal="center" vertical="center"/>
    </xf>
    <xf numFmtId="172" fontId="0" fillId="4" borderId="2" xfId="0" applyNumberFormat="1" applyFill="1" applyBorder="1" applyAlignment="1">
      <alignment horizontal="center" vertical="center"/>
    </xf>
    <xf numFmtId="0" fontId="0" fillId="4" borderId="75" xfId="0" applyFill="1" applyBorder="1" applyAlignment="1">
      <alignment horizontal="center" vertical="center"/>
    </xf>
    <xf numFmtId="0" fontId="0" fillId="4" borderId="82" xfId="0" applyFill="1" applyBorder="1" applyAlignment="1">
      <alignment horizontal="center" vertical="center"/>
    </xf>
    <xf numFmtId="0" fontId="0" fillId="4" borderId="19" xfId="0" applyFill="1" applyBorder="1" applyAlignment="1">
      <alignment horizontal="center" vertical="center"/>
    </xf>
    <xf numFmtId="9" fontId="0" fillId="10" borderId="2" xfId="0" applyNumberFormat="1" applyFill="1" applyBorder="1" applyAlignment="1">
      <alignment horizontal="center" vertical="center"/>
    </xf>
    <xf numFmtId="0" fontId="0" fillId="10" borderId="2" xfId="0" applyFill="1" applyBorder="1" applyAlignment="1">
      <alignment horizontal="center" vertical="center" wrapText="1"/>
    </xf>
    <xf numFmtId="0" fontId="0" fillId="4" borderId="85" xfId="0" applyFill="1" applyBorder="1" applyAlignment="1">
      <alignment horizontal="center" vertical="center"/>
    </xf>
    <xf numFmtId="0" fontId="0" fillId="4" borderId="86" xfId="0" applyFill="1" applyBorder="1" applyAlignment="1">
      <alignment horizontal="center" vertical="center"/>
    </xf>
    <xf numFmtId="0" fontId="1" fillId="10" borderId="2" xfId="0" applyFont="1" applyFill="1" applyBorder="1" applyAlignment="1">
      <alignment horizontal="center" vertical="center"/>
    </xf>
    <xf numFmtId="0" fontId="34" fillId="4" borderId="0" xfId="7" applyFill="1"/>
    <xf numFmtId="0" fontId="35" fillId="4" borderId="0" xfId="0" applyFont="1" applyFill="1"/>
    <xf numFmtId="0" fontId="36" fillId="4" borderId="0" xfId="0" applyFont="1" applyFill="1"/>
    <xf numFmtId="0" fontId="1" fillId="7" borderId="101" xfId="0" applyFont="1" applyFill="1" applyBorder="1" applyAlignment="1">
      <alignment horizontal="center" vertical="center"/>
    </xf>
    <xf numFmtId="0" fontId="0" fillId="7" borderId="102" xfId="0" applyFill="1" applyBorder="1" applyAlignment="1">
      <alignment horizontal="center" vertical="center"/>
    </xf>
    <xf numFmtId="0" fontId="7" fillId="4" borderId="0" xfId="0" applyFont="1" applyFill="1" applyAlignment="1">
      <alignment horizontal="center" vertical="center"/>
    </xf>
    <xf numFmtId="0" fontId="7" fillId="4" borderId="0" xfId="0" applyFont="1" applyFill="1" applyAlignment="1">
      <alignment horizontal="center" vertical="center" wrapText="1"/>
    </xf>
    <xf numFmtId="0" fontId="7" fillId="0" borderId="0" xfId="0" applyFont="1" applyAlignment="1">
      <alignment horizontal="center" vertical="center"/>
    </xf>
    <xf numFmtId="0" fontId="39" fillId="9" borderId="101" xfId="0" applyFont="1" applyFill="1" applyBorder="1" applyAlignment="1">
      <alignment horizontal="center" vertical="center" wrapText="1"/>
    </xf>
    <xf numFmtId="0" fontId="39" fillId="4" borderId="82" xfId="0" applyFont="1" applyFill="1" applyBorder="1" applyAlignment="1">
      <alignment horizontal="center" vertical="center" wrapText="1"/>
    </xf>
    <xf numFmtId="0" fontId="39" fillId="4" borderId="0" xfId="0" applyFont="1" applyFill="1" applyAlignment="1">
      <alignment horizontal="center" vertical="center" wrapText="1"/>
    </xf>
    <xf numFmtId="0" fontId="7" fillId="4" borderId="1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39" fillId="4" borderId="86"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1" fillId="4" borderId="0" xfId="0" applyFont="1" applyFill="1" applyAlignment="1">
      <alignment horizontal="left"/>
    </xf>
    <xf numFmtId="0" fontId="1" fillId="4" borderId="0" xfId="0" applyFont="1" applyFill="1" applyAlignment="1">
      <alignment horizontal="left" vertical="center"/>
    </xf>
    <xf numFmtId="0" fontId="2" fillId="4" borderId="0" xfId="0" applyFont="1" applyFill="1"/>
    <xf numFmtId="0" fontId="38" fillId="10" borderId="83" xfId="0" applyFont="1" applyFill="1" applyBorder="1" applyAlignment="1">
      <alignment horizontal="center" vertical="center" wrapText="1"/>
    </xf>
    <xf numFmtId="0" fontId="38" fillId="10" borderId="1" xfId="0" applyFont="1" applyFill="1" applyBorder="1" applyAlignment="1">
      <alignment horizontal="center" vertical="center" wrapText="1"/>
    </xf>
    <xf numFmtId="0" fontId="38" fillId="10" borderId="7" xfId="0" applyFont="1" applyFill="1" applyBorder="1" applyAlignment="1">
      <alignment horizontal="center" vertical="center" wrapText="1"/>
    </xf>
    <xf numFmtId="0" fontId="0" fillId="7" borderId="93" xfId="0" applyFill="1" applyBorder="1" applyAlignment="1">
      <alignment horizontal="center" vertical="center" wrapText="1"/>
    </xf>
    <xf numFmtId="0" fontId="0" fillId="7" borderId="8" xfId="0" applyFill="1" applyBorder="1" applyAlignment="1">
      <alignment horizontal="center" vertical="center" wrapText="1"/>
    </xf>
    <xf numFmtId="2" fontId="19" fillId="10" borderId="91" xfId="0" applyNumberFormat="1" applyFont="1" applyFill="1" applyBorder="1" applyAlignment="1">
      <alignment horizontal="center" vertical="center" wrapText="1"/>
    </xf>
    <xf numFmtId="0" fontId="0" fillId="7" borderId="99" xfId="0" applyFill="1" applyBorder="1" applyAlignment="1">
      <alignment horizontal="center" vertical="center" wrapText="1"/>
    </xf>
    <xf numFmtId="4" fontId="7" fillId="5" borderId="47" xfId="1" applyNumberFormat="1" applyFont="1" applyFill="1" applyBorder="1" applyAlignment="1" applyProtection="1">
      <alignment horizontal="center" vertical="center"/>
      <protection locked="0"/>
    </xf>
    <xf numFmtId="9" fontId="7" fillId="5" borderId="55" xfId="3" applyFont="1" applyFill="1" applyBorder="1" applyAlignment="1" applyProtection="1">
      <alignment horizontal="center" vertical="center"/>
      <protection locked="0"/>
    </xf>
    <xf numFmtId="9" fontId="7" fillId="5" borderId="72" xfId="3" applyFont="1" applyFill="1" applyBorder="1" applyAlignment="1" applyProtection="1">
      <alignment horizontal="center" vertical="center"/>
      <protection locked="0"/>
    </xf>
    <xf numFmtId="0" fontId="40" fillId="4" borderId="0" xfId="0" applyFont="1" applyFill="1" applyAlignment="1">
      <alignment horizontal="center" vertical="center"/>
    </xf>
    <xf numFmtId="0" fontId="39" fillId="4" borderId="0" xfId="0" applyFont="1" applyFill="1" applyAlignment="1">
      <alignment horizontal="center" vertical="center"/>
    </xf>
    <xf numFmtId="0" fontId="7" fillId="4" borderId="82" xfId="0" applyFont="1" applyFill="1" applyBorder="1" applyAlignment="1">
      <alignment horizontal="center" vertical="center"/>
    </xf>
    <xf numFmtId="0" fontId="7" fillId="4" borderId="87" xfId="0" applyFont="1" applyFill="1" applyBorder="1" applyAlignment="1">
      <alignment horizontal="center" vertical="center"/>
    </xf>
    <xf numFmtId="0" fontId="7" fillId="4" borderId="86" xfId="0" applyFont="1" applyFill="1" applyBorder="1" applyAlignment="1">
      <alignment horizontal="center" vertical="center"/>
    </xf>
    <xf numFmtId="0" fontId="7" fillId="4" borderId="88" xfId="0" applyFont="1" applyFill="1" applyBorder="1" applyAlignment="1">
      <alignment horizontal="center" vertical="center"/>
    </xf>
    <xf numFmtId="0" fontId="7" fillId="10" borderId="41"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2" xfId="0" applyFont="1" applyFill="1" applyBorder="1" applyAlignment="1">
      <alignment horizontal="center" vertical="center"/>
    </xf>
    <xf numFmtId="0" fontId="39" fillId="4" borderId="19" xfId="0" applyFont="1" applyFill="1" applyBorder="1" applyAlignment="1">
      <alignment horizontal="center" vertical="center"/>
    </xf>
    <xf numFmtId="0" fontId="39" fillId="4" borderId="12" xfId="0" applyFont="1" applyFill="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10" borderId="39" xfId="0" applyFont="1" applyFill="1" applyBorder="1" applyAlignment="1">
      <alignment horizontal="center" vertical="center"/>
    </xf>
    <xf numFmtId="0" fontId="43" fillId="4" borderId="0" xfId="0" applyFont="1" applyFill="1" applyAlignment="1">
      <alignment horizontal="center" vertical="center"/>
    </xf>
    <xf numFmtId="0" fontId="9" fillId="4" borderId="0" xfId="0" applyFont="1" applyFill="1" applyAlignment="1">
      <alignment horizontal="center" vertical="center" wrapText="1"/>
    </xf>
    <xf numFmtId="0" fontId="9" fillId="4" borderId="0" xfId="0" applyFont="1" applyFill="1" applyAlignment="1">
      <alignment vertical="center" wrapText="1"/>
    </xf>
    <xf numFmtId="0" fontId="9" fillId="4" borderId="0" xfId="0" applyFont="1" applyFill="1" applyAlignment="1">
      <alignment horizontal="left" vertical="center" wrapText="1"/>
    </xf>
    <xf numFmtId="0" fontId="9" fillId="4" borderId="0" xfId="0" applyFont="1" applyFill="1" applyAlignment="1">
      <alignment vertical="center"/>
    </xf>
    <xf numFmtId="0" fontId="9" fillId="4" borderId="86" xfId="0" applyFont="1" applyFill="1" applyBorder="1" applyAlignment="1">
      <alignment horizontal="left" vertical="center" wrapText="1"/>
    </xf>
    <xf numFmtId="0" fontId="45" fillId="4" borderId="82" xfId="0" applyFont="1" applyFill="1" applyBorder="1" applyAlignment="1">
      <alignment vertical="center" wrapText="1"/>
    </xf>
    <xf numFmtId="0" fontId="45" fillId="4" borderId="86" xfId="0" applyFont="1" applyFill="1" applyBorder="1" applyAlignment="1">
      <alignment vertical="center" wrapText="1"/>
    </xf>
    <xf numFmtId="0" fontId="13" fillId="0" borderId="0" xfId="0" applyFont="1" applyAlignment="1">
      <alignment vertical="center"/>
    </xf>
    <xf numFmtId="0" fontId="39" fillId="20" borderId="83" xfId="0" applyFont="1" applyFill="1" applyBorder="1" applyAlignment="1">
      <alignment horizontal="center" vertical="center" wrapText="1"/>
    </xf>
    <xf numFmtId="0" fontId="39" fillId="20" borderId="1" xfId="0" applyFont="1" applyFill="1" applyBorder="1" applyAlignment="1">
      <alignment horizontal="center" vertical="center" wrapText="1"/>
    </xf>
    <xf numFmtId="0" fontId="39" fillId="20" borderId="7" xfId="0" applyFont="1" applyFill="1" applyBorder="1" applyAlignment="1">
      <alignment horizontal="center" vertical="center" wrapText="1"/>
    </xf>
    <xf numFmtId="0" fontId="39" fillId="20" borderId="32" xfId="0" applyFont="1" applyFill="1" applyBorder="1" applyAlignment="1">
      <alignment horizontal="center" vertical="center" wrapText="1"/>
    </xf>
    <xf numFmtId="0" fontId="39" fillId="20" borderId="41" xfId="0" applyFont="1" applyFill="1" applyBorder="1" applyAlignment="1">
      <alignment horizontal="center" vertical="center" wrapText="1"/>
    </xf>
    <xf numFmtId="0" fontId="41" fillId="20" borderId="41" xfId="7" applyFont="1" applyFill="1" applyBorder="1" applyAlignment="1">
      <alignment horizontal="center" vertical="center" wrapText="1"/>
    </xf>
    <xf numFmtId="0" fontId="39" fillId="20" borderId="89" xfId="0" applyFont="1" applyFill="1" applyBorder="1" applyAlignment="1">
      <alignment horizontal="center" vertical="center" wrapText="1"/>
    </xf>
    <xf numFmtId="0" fontId="39" fillId="20" borderId="84" xfId="0" applyFont="1" applyFill="1" applyBorder="1" applyAlignment="1">
      <alignment horizontal="center" vertical="center" wrapText="1"/>
    </xf>
    <xf numFmtId="0" fontId="39" fillId="20" borderId="101" xfId="0" applyFont="1" applyFill="1" applyBorder="1" applyAlignment="1">
      <alignment horizontal="center" vertical="center" wrapText="1"/>
    </xf>
    <xf numFmtId="0" fontId="39" fillId="20" borderId="93" xfId="0" applyFont="1" applyFill="1" applyBorder="1" applyAlignment="1">
      <alignment horizontal="center" vertical="center" wrapText="1"/>
    </xf>
    <xf numFmtId="0" fontId="39" fillId="20" borderId="93" xfId="0" applyFont="1" applyFill="1" applyBorder="1" applyAlignment="1">
      <alignment horizontal="center" vertical="center"/>
    </xf>
    <xf numFmtId="0" fontId="39" fillId="20" borderId="84" xfId="0" applyFont="1" applyFill="1" applyBorder="1" applyAlignment="1">
      <alignment horizontal="center" vertical="center"/>
    </xf>
    <xf numFmtId="0" fontId="39" fillId="20" borderId="21" xfId="0" applyFont="1" applyFill="1" applyBorder="1" applyAlignment="1">
      <alignment horizontal="center" vertical="center" wrapText="1"/>
    </xf>
    <xf numFmtId="0" fontId="39" fillId="20" borderId="100" xfId="0" applyFont="1" applyFill="1" applyBorder="1" applyAlignment="1">
      <alignment horizontal="center" vertical="center" wrapText="1"/>
    </xf>
    <xf numFmtId="0" fontId="39" fillId="20" borderId="103" xfId="0" applyFont="1" applyFill="1" applyBorder="1" applyAlignment="1">
      <alignment horizontal="center" vertical="center" wrapText="1"/>
    </xf>
    <xf numFmtId="0" fontId="15" fillId="20" borderId="84" xfId="0" applyFont="1" applyFill="1" applyBorder="1" applyAlignment="1">
      <alignment horizontal="center" vertical="center" wrapText="1"/>
    </xf>
    <xf numFmtId="0" fontId="15" fillId="20" borderId="41" xfId="0" applyFont="1" applyFill="1" applyBorder="1" applyAlignment="1">
      <alignment horizontal="center" vertical="center" wrapText="1"/>
    </xf>
    <xf numFmtId="0" fontId="39" fillId="20" borderId="2" xfId="0" applyFont="1" applyFill="1" applyBorder="1" applyAlignment="1">
      <alignment horizontal="center" vertical="center" wrapText="1"/>
    </xf>
    <xf numFmtId="0" fontId="7" fillId="5" borderId="102" xfId="0" applyFont="1" applyFill="1" applyBorder="1" applyAlignment="1" applyProtection="1">
      <alignment horizontal="center" vertical="center"/>
      <protection locked="0"/>
    </xf>
    <xf numFmtId="3" fontId="7" fillId="5" borderId="39" xfId="0" applyNumberFormat="1" applyFont="1" applyFill="1" applyBorder="1" applyAlignment="1" applyProtection="1">
      <alignment horizontal="center" vertical="center"/>
      <protection locked="0"/>
    </xf>
    <xf numFmtId="0" fontId="7" fillId="5" borderId="8" xfId="0" applyFont="1" applyFill="1" applyBorder="1" applyAlignment="1" applyProtection="1">
      <alignment vertical="center"/>
      <protection locked="0"/>
    </xf>
    <xf numFmtId="0" fontId="7" fillId="5" borderId="8" xfId="0" applyFont="1" applyFill="1" applyBorder="1" applyAlignment="1" applyProtection="1">
      <alignment horizontal="center" vertical="center"/>
      <protection locked="0"/>
    </xf>
    <xf numFmtId="0" fontId="7" fillId="5" borderId="39" xfId="0" applyFont="1" applyFill="1" applyBorder="1" applyAlignment="1" applyProtection="1">
      <alignment horizontal="center" vertical="center"/>
      <protection locked="0"/>
    </xf>
    <xf numFmtId="0" fontId="7" fillId="5" borderId="23" xfId="0" applyFont="1" applyFill="1" applyBorder="1" applyAlignment="1" applyProtection="1">
      <alignment vertical="center"/>
      <protection locked="0"/>
    </xf>
    <xf numFmtId="0" fontId="7" fillId="5" borderId="1" xfId="0" applyFont="1" applyFill="1" applyBorder="1" applyAlignment="1" applyProtection="1">
      <alignment horizontal="center" vertical="center"/>
      <protection locked="0"/>
    </xf>
    <xf numFmtId="0" fontId="7" fillId="5" borderId="41" xfId="0" applyFont="1" applyFill="1" applyBorder="1" applyAlignment="1" applyProtection="1">
      <alignment horizontal="center" vertical="center"/>
      <protection locked="0"/>
    </xf>
    <xf numFmtId="0" fontId="9" fillId="5" borderId="23" xfId="0" applyFont="1" applyFill="1" applyBorder="1" applyAlignment="1" applyProtection="1">
      <alignment vertical="center"/>
      <protection locked="0"/>
    </xf>
    <xf numFmtId="0" fontId="7" fillId="5" borderId="7" xfId="0" applyFont="1" applyFill="1" applyBorder="1" applyAlignment="1" applyProtection="1">
      <alignment horizontal="center" vertical="center"/>
      <protection locked="0"/>
    </xf>
    <xf numFmtId="0" fontId="7" fillId="5" borderId="29" xfId="0" applyFont="1" applyFill="1" applyBorder="1" applyAlignment="1" applyProtection="1">
      <alignment horizontal="center" vertical="center"/>
      <protection locked="0"/>
    </xf>
    <xf numFmtId="0" fontId="7" fillId="5" borderId="84" xfId="0" applyFont="1" applyFill="1" applyBorder="1" applyAlignment="1" applyProtection="1">
      <alignment horizontal="center" vertical="center"/>
      <protection locked="0"/>
    </xf>
    <xf numFmtId="0" fontId="7" fillId="5" borderId="2" xfId="0" applyFont="1" applyFill="1" applyBorder="1" applyAlignment="1" applyProtection="1">
      <alignment horizontal="center" vertical="center"/>
      <protection locked="0"/>
    </xf>
    <xf numFmtId="0" fontId="7" fillId="5" borderId="103" xfId="0" applyFont="1" applyFill="1" applyBorder="1" applyAlignment="1" applyProtection="1">
      <alignment horizontal="center" vertical="center"/>
      <protection locked="0"/>
    </xf>
    <xf numFmtId="0" fontId="7" fillId="5" borderId="74" xfId="0" applyFont="1" applyFill="1" applyBorder="1" applyAlignment="1" applyProtection="1">
      <alignment horizontal="center" vertical="center"/>
      <protection locked="0"/>
    </xf>
    <xf numFmtId="0" fontId="1" fillId="7" borderId="2" xfId="0" applyFont="1" applyFill="1" applyBorder="1" applyAlignment="1">
      <alignment horizontal="center" vertical="center"/>
    </xf>
    <xf numFmtId="0" fontId="13" fillId="19" borderId="96" xfId="0" applyFont="1" applyFill="1" applyBorder="1" applyAlignment="1">
      <alignment horizontal="center" vertical="center"/>
    </xf>
    <xf numFmtId="0" fontId="13" fillId="19" borderId="97" xfId="0" applyFont="1" applyFill="1" applyBorder="1" applyAlignment="1">
      <alignment horizontal="center" vertical="center"/>
    </xf>
    <xf numFmtId="0" fontId="13" fillId="19" borderId="98" xfId="0" applyFont="1" applyFill="1" applyBorder="1" applyAlignment="1">
      <alignment horizontal="center" vertical="center"/>
    </xf>
    <xf numFmtId="0" fontId="45" fillId="4" borderId="75" xfId="0" applyFont="1" applyFill="1" applyBorder="1" applyAlignment="1">
      <alignment horizontal="center" vertical="center" wrapText="1"/>
    </xf>
    <xf numFmtId="0" fontId="45" fillId="4" borderId="105" xfId="0" applyFont="1" applyFill="1" applyBorder="1" applyAlignment="1">
      <alignment horizontal="center" vertical="center" wrapText="1"/>
    </xf>
    <xf numFmtId="0" fontId="45" fillId="4" borderId="19" xfId="0" applyFont="1" applyFill="1" applyBorder="1" applyAlignment="1">
      <alignment horizontal="center" vertical="center" wrapText="1"/>
    </xf>
    <xf numFmtId="0" fontId="45" fillId="4" borderId="106" xfId="0" applyFont="1" applyFill="1" applyBorder="1" applyAlignment="1">
      <alignment horizontal="center" vertical="center" wrapText="1"/>
    </xf>
    <xf numFmtId="0" fontId="45" fillId="4" borderId="85" xfId="0" applyFont="1" applyFill="1" applyBorder="1" applyAlignment="1">
      <alignment horizontal="center" vertical="center" wrapText="1"/>
    </xf>
    <xf numFmtId="0" fontId="45" fillId="4" borderId="107" xfId="0" applyFont="1" applyFill="1" applyBorder="1" applyAlignment="1">
      <alignment horizontal="center" vertical="center" wrapText="1"/>
    </xf>
    <xf numFmtId="0" fontId="39" fillId="9" borderId="94" xfId="0" applyFont="1" applyFill="1" applyBorder="1" applyAlignment="1">
      <alignment horizontal="center" vertical="center" wrapText="1"/>
    </xf>
    <xf numFmtId="0" fontId="39" fillId="9" borderId="33" xfId="0" applyFont="1" applyFill="1" applyBorder="1" applyAlignment="1">
      <alignment horizontal="center" vertical="center" wrapText="1"/>
    </xf>
    <xf numFmtId="0" fontId="45" fillId="4" borderId="82" xfId="0" applyFont="1" applyFill="1" applyBorder="1" applyAlignment="1">
      <alignment horizontal="center" vertical="center" wrapText="1"/>
    </xf>
    <xf numFmtId="0" fontId="45" fillId="4" borderId="0" xfId="0" applyFont="1" applyFill="1" applyAlignment="1">
      <alignment horizontal="center" vertical="center" wrapText="1"/>
    </xf>
    <xf numFmtId="0" fontId="45" fillId="4" borderId="86" xfId="0" applyFont="1" applyFill="1" applyBorder="1" applyAlignment="1">
      <alignment horizontal="center" vertical="center" wrapText="1"/>
    </xf>
    <xf numFmtId="0" fontId="45" fillId="4" borderId="87" xfId="0" applyFont="1" applyFill="1" applyBorder="1" applyAlignment="1">
      <alignment horizontal="center" vertical="center" wrapText="1"/>
    </xf>
    <xf numFmtId="0" fontId="45" fillId="4" borderId="12" xfId="0" applyFont="1" applyFill="1" applyBorder="1" applyAlignment="1">
      <alignment horizontal="center" vertical="center" wrapText="1"/>
    </xf>
    <xf numFmtId="0" fontId="45" fillId="4" borderId="88" xfId="0" applyFont="1" applyFill="1" applyBorder="1" applyAlignment="1">
      <alignment horizontal="center" vertical="center" wrapText="1"/>
    </xf>
    <xf numFmtId="0" fontId="44" fillId="4" borderId="83"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13" fillId="18" borderId="96" xfId="0" applyFont="1" applyFill="1" applyBorder="1" applyAlignment="1">
      <alignment horizontal="center" vertical="center"/>
    </xf>
    <xf numFmtId="0" fontId="13" fillId="18" borderId="97" xfId="0" applyFont="1" applyFill="1" applyBorder="1" applyAlignment="1">
      <alignment horizontal="center" vertical="center"/>
    </xf>
    <xf numFmtId="0" fontId="13" fillId="18" borderId="98" xfId="0" applyFont="1" applyFill="1" applyBorder="1" applyAlignment="1">
      <alignment horizontal="center" vertical="center"/>
    </xf>
    <xf numFmtId="0" fontId="12" fillId="0" borderId="19" xfId="0" applyFont="1" applyBorder="1" applyAlignment="1">
      <alignment horizontal="left" vertical="center" wrapText="1"/>
    </xf>
    <xf numFmtId="0" fontId="12" fillId="0" borderId="73" xfId="0" applyFont="1" applyBorder="1" applyAlignment="1">
      <alignment horizontal="left" vertical="center" wrapText="1"/>
    </xf>
    <xf numFmtId="0" fontId="8" fillId="8" borderId="45" xfId="0" applyFont="1" applyFill="1" applyBorder="1" applyAlignment="1">
      <alignment horizontal="center" vertical="center"/>
    </xf>
    <xf numFmtId="0" fontId="8" fillId="8" borderId="46" xfId="0" applyFont="1" applyFill="1" applyBorder="1" applyAlignment="1">
      <alignment horizontal="center" vertical="center"/>
    </xf>
    <xf numFmtId="0" fontId="12" fillId="7" borderId="32"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11" xfId="0" applyFont="1" applyFill="1" applyBorder="1" applyAlignment="1">
      <alignment horizontal="center" vertical="center"/>
    </xf>
    <xf numFmtId="0" fontId="8" fillId="8" borderId="21" xfId="0" applyFont="1" applyFill="1" applyBorder="1" applyAlignment="1">
      <alignment horizontal="left" vertical="center"/>
    </xf>
    <xf numFmtId="0" fontId="8" fillId="8" borderId="22" xfId="0" applyFont="1" applyFill="1" applyBorder="1" applyAlignment="1">
      <alignment horizontal="left" vertical="center"/>
    </xf>
    <xf numFmtId="0" fontId="8" fillId="8" borderId="24" xfId="0" applyFont="1" applyFill="1" applyBorder="1" applyAlignment="1">
      <alignment horizontal="left" vertical="center"/>
    </xf>
    <xf numFmtId="0" fontId="15" fillId="8" borderId="60" xfId="0" applyFont="1" applyFill="1" applyBorder="1" applyAlignment="1">
      <alignment horizontal="center" vertical="center"/>
    </xf>
    <xf numFmtId="0" fontId="15" fillId="8" borderId="68" xfId="0" applyFont="1" applyFill="1" applyBorder="1" applyAlignment="1">
      <alignment horizontal="center" vertical="center"/>
    </xf>
    <xf numFmtId="0" fontId="15" fillId="8" borderId="43" xfId="0" applyFont="1" applyFill="1" applyBorder="1" applyAlignment="1">
      <alignment horizontal="left" vertical="center"/>
    </xf>
    <xf numFmtId="0" fontId="15" fillId="8" borderId="44" xfId="0" applyFont="1" applyFill="1" applyBorder="1" applyAlignment="1">
      <alignment horizontal="left" vertical="center"/>
    </xf>
    <xf numFmtId="0" fontId="14" fillId="7" borderId="34" xfId="0" applyFont="1" applyFill="1" applyBorder="1" applyAlignment="1">
      <alignment horizontal="center"/>
    </xf>
    <xf numFmtId="0" fontId="14" fillId="7" borderId="42" xfId="0" applyFont="1" applyFill="1" applyBorder="1" applyAlignment="1">
      <alignment horizontal="center"/>
    </xf>
    <xf numFmtId="168" fontId="7" fillId="2" borderId="32" xfId="0" applyNumberFormat="1" applyFont="1" applyFill="1" applyBorder="1" applyAlignment="1">
      <alignment horizontal="center" wrapText="1"/>
    </xf>
    <xf numFmtId="168" fontId="7" fillId="2" borderId="11" xfId="0" applyNumberFormat="1" applyFont="1" applyFill="1" applyBorder="1" applyAlignment="1">
      <alignment horizontal="center" wrapText="1"/>
    </xf>
    <xf numFmtId="0" fontId="7" fillId="2" borderId="29" xfId="0" applyFont="1" applyFill="1" applyBorder="1" applyAlignment="1">
      <alignment horizontal="left" vertical="center"/>
    </xf>
    <xf numFmtId="0" fontId="7" fillId="2" borderId="6" xfId="0" applyFont="1" applyFill="1" applyBorder="1" applyAlignment="1">
      <alignment horizontal="left" vertical="center"/>
    </xf>
    <xf numFmtId="0" fontId="7" fillId="2" borderId="27" xfId="0" applyFont="1" applyFill="1" applyBorder="1" applyAlignment="1">
      <alignment horizontal="left" vertical="center"/>
    </xf>
    <xf numFmtId="168" fontId="7" fillId="5" borderId="28" xfId="0" applyNumberFormat="1" applyFont="1" applyFill="1" applyBorder="1" applyAlignment="1" applyProtection="1">
      <alignment horizontal="center" vertical="center"/>
      <protection locked="0"/>
    </xf>
    <xf numFmtId="168" fontId="7" fillId="5" borderId="4" xfId="0" applyNumberFormat="1" applyFont="1" applyFill="1" applyBorder="1" applyAlignment="1" applyProtection="1">
      <alignment horizontal="center" vertical="center"/>
      <protection locked="0"/>
    </xf>
    <xf numFmtId="168" fontId="7" fillId="5" borderId="30" xfId="0" applyNumberFormat="1" applyFont="1" applyFill="1" applyBorder="1" applyAlignment="1" applyProtection="1">
      <alignment horizontal="center" vertical="center"/>
      <protection locked="0"/>
    </xf>
    <xf numFmtId="10" fontId="7" fillId="2" borderId="31" xfId="0" applyNumberFormat="1" applyFont="1" applyFill="1" applyBorder="1" applyAlignment="1">
      <alignment horizontal="center" vertical="center" wrapText="1"/>
    </xf>
    <xf numFmtId="10" fontId="7" fillId="2" borderId="9" xfId="0" applyNumberFormat="1" applyFont="1" applyFill="1" applyBorder="1" applyAlignment="1">
      <alignment horizontal="center" vertical="center" wrapText="1"/>
    </xf>
    <xf numFmtId="10" fontId="7" fillId="2" borderId="25" xfId="0" applyNumberFormat="1" applyFont="1" applyFill="1" applyBorder="1" applyAlignment="1">
      <alignment horizontal="center" vertical="center" wrapText="1"/>
    </xf>
    <xf numFmtId="10" fontId="7" fillId="2" borderId="12" xfId="0" applyNumberFormat="1" applyFont="1" applyFill="1" applyBorder="1" applyAlignment="1">
      <alignment horizontal="center" vertical="center" wrapText="1"/>
    </xf>
    <xf numFmtId="10" fontId="7" fillId="2" borderId="32" xfId="0" applyNumberFormat="1" applyFont="1" applyFill="1" applyBorder="1" applyAlignment="1">
      <alignment horizontal="center" vertical="center" wrapText="1"/>
    </xf>
    <xf numFmtId="10" fontId="7" fillId="2" borderId="11" xfId="0" applyNumberFormat="1" applyFont="1" applyFill="1" applyBorder="1" applyAlignment="1">
      <alignment horizontal="center" vertical="center" wrapText="1"/>
    </xf>
    <xf numFmtId="10" fontId="7" fillId="2" borderId="8" xfId="0" applyNumberFormat="1" applyFont="1" applyFill="1" applyBorder="1" applyAlignment="1">
      <alignment horizontal="center" wrapText="1"/>
    </xf>
    <xf numFmtId="10" fontId="7" fillId="2" borderId="39" xfId="0" applyNumberFormat="1" applyFont="1" applyFill="1" applyBorder="1" applyAlignment="1">
      <alignment horizontal="center" wrapText="1"/>
    </xf>
    <xf numFmtId="0" fontId="15" fillId="8" borderId="75" xfId="0" applyFont="1" applyFill="1" applyBorder="1" applyAlignment="1">
      <alignment horizontal="left" vertical="center"/>
    </xf>
    <xf numFmtId="0" fontId="15" fillId="8" borderId="78" xfId="0" applyFont="1" applyFill="1" applyBorder="1" applyAlignment="1">
      <alignment horizontal="left" vertical="center"/>
    </xf>
    <xf numFmtId="0" fontId="15" fillId="8" borderId="76" xfId="0" applyFont="1" applyFill="1" applyBorder="1" applyAlignment="1">
      <alignment horizontal="center" vertical="center"/>
    </xf>
    <xf numFmtId="0" fontId="15" fillId="8" borderId="61" xfId="0" applyFont="1" applyFill="1" applyBorder="1" applyAlignment="1">
      <alignment horizontal="center" vertical="center"/>
    </xf>
    <xf numFmtId="0" fontId="15" fillId="8" borderId="69" xfId="0" applyFont="1" applyFill="1" applyBorder="1" applyAlignment="1">
      <alignment horizontal="center" vertical="center"/>
    </xf>
    <xf numFmtId="0" fontId="15" fillId="8" borderId="77" xfId="0" applyFont="1" applyFill="1" applyBorder="1" applyAlignment="1">
      <alignment horizontal="center" vertical="center"/>
    </xf>
    <xf numFmtId="0" fontId="15" fillId="8" borderId="79" xfId="0" applyFont="1" applyFill="1" applyBorder="1" applyAlignment="1">
      <alignment horizontal="center" vertical="center"/>
    </xf>
    <xf numFmtId="0" fontId="2" fillId="15" borderId="96" xfId="0" applyFont="1" applyFill="1" applyBorder="1" applyAlignment="1">
      <alignment horizontal="center" vertical="center" wrapText="1"/>
    </xf>
    <xf numFmtId="0" fontId="2" fillId="15" borderId="97" xfId="0" applyFont="1" applyFill="1" applyBorder="1" applyAlignment="1">
      <alignment horizontal="center" vertical="center" wrapText="1"/>
    </xf>
    <xf numFmtId="0" fontId="2" fillId="15" borderId="98" xfId="0" applyFont="1" applyFill="1" applyBorder="1" applyAlignment="1">
      <alignment horizontal="center" vertical="center" wrapText="1"/>
    </xf>
    <xf numFmtId="0" fontId="19" fillId="0" borderId="75" xfId="0" applyFont="1" applyBorder="1" applyAlignment="1">
      <alignment horizontal="center" vertical="center"/>
    </xf>
    <xf numFmtId="0" fontId="19" fillId="0" borderId="19" xfId="0" applyFont="1" applyBorder="1" applyAlignment="1">
      <alignment horizontal="center" vertical="center"/>
    </xf>
    <xf numFmtId="0" fontId="19" fillId="0" borderId="75"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85" xfId="0" applyFont="1" applyBorder="1" applyAlignment="1">
      <alignment horizontal="center" vertical="center" wrapText="1"/>
    </xf>
    <xf numFmtId="0" fontId="0" fillId="7" borderId="2" xfId="0" applyFill="1" applyBorder="1" applyAlignment="1">
      <alignment horizontal="center" vertical="center" wrapText="1"/>
    </xf>
    <xf numFmtId="0" fontId="2" fillId="15" borderId="75" xfId="0" applyFont="1" applyFill="1" applyBorder="1" applyAlignment="1">
      <alignment horizontal="center" vertical="center" wrapText="1"/>
    </xf>
    <xf numFmtId="0" fontId="2" fillId="15" borderId="82" xfId="0" applyFont="1" applyFill="1" applyBorder="1" applyAlignment="1">
      <alignment horizontal="center" vertical="center" wrapText="1"/>
    </xf>
    <xf numFmtId="0" fontId="2" fillId="15" borderId="87" xfId="0" applyFont="1" applyFill="1" applyBorder="1" applyAlignment="1">
      <alignment horizontal="center" vertical="center" wrapText="1"/>
    </xf>
    <xf numFmtId="0" fontId="2" fillId="15" borderId="85" xfId="0" applyFont="1" applyFill="1" applyBorder="1" applyAlignment="1">
      <alignment horizontal="center" vertical="center" wrapText="1"/>
    </xf>
    <xf numFmtId="0" fontId="2" fillId="15" borderId="86" xfId="0" applyFont="1" applyFill="1" applyBorder="1" applyAlignment="1">
      <alignment horizontal="center" vertical="center" wrapText="1"/>
    </xf>
    <xf numFmtId="0" fontId="2" fillId="15" borderId="88" xfId="0" applyFont="1" applyFill="1" applyBorder="1" applyAlignment="1">
      <alignment horizontal="center" vertical="center" wrapText="1"/>
    </xf>
    <xf numFmtId="0" fontId="37" fillId="7" borderId="30" xfId="0" applyFont="1" applyFill="1" applyBorder="1" applyAlignment="1">
      <alignment horizontal="center"/>
    </xf>
    <xf numFmtId="0" fontId="19" fillId="10" borderId="21" xfId="0" applyFont="1" applyFill="1" applyBorder="1" applyAlignment="1">
      <alignment horizontal="center" vertical="center"/>
    </xf>
    <xf numFmtId="0" fontId="19" fillId="10" borderId="22" xfId="0" applyFont="1" applyFill="1" applyBorder="1" applyAlignment="1">
      <alignment horizontal="center" vertical="center"/>
    </xf>
    <xf numFmtId="0" fontId="19" fillId="10" borderId="24" xfId="0" applyFont="1" applyFill="1" applyBorder="1" applyAlignment="1">
      <alignment horizontal="center" vertical="center"/>
    </xf>
    <xf numFmtId="0" fontId="2" fillId="0" borderId="2" xfId="0" applyFont="1" applyBorder="1" applyAlignment="1">
      <alignment horizontal="center"/>
    </xf>
    <xf numFmtId="0" fontId="2" fillId="0" borderId="96" xfId="0" applyFont="1" applyBorder="1" applyAlignment="1">
      <alignment horizontal="center"/>
    </xf>
    <xf numFmtId="0" fontId="2" fillId="0" borderId="97" xfId="0" applyFont="1" applyBorder="1" applyAlignment="1">
      <alignment horizontal="center"/>
    </xf>
    <xf numFmtId="0" fontId="2" fillId="0" borderId="98" xfId="0" applyFont="1" applyBorder="1" applyAlignment="1">
      <alignment horizontal="center"/>
    </xf>
    <xf numFmtId="0" fontId="0" fillId="7" borderId="30" xfId="0" applyFill="1" applyBorder="1" applyAlignment="1">
      <alignment horizontal="center" vertical="center" wrapText="1"/>
    </xf>
    <xf numFmtId="0" fontId="8" fillId="8" borderId="75" xfId="0" applyFont="1" applyFill="1" applyBorder="1" applyAlignment="1">
      <alignment horizontal="center" vertical="center"/>
    </xf>
    <xf numFmtId="0" fontId="8" fillId="8" borderId="82" xfId="0" applyFont="1" applyFill="1" applyBorder="1" applyAlignment="1">
      <alignment horizontal="center" vertical="center"/>
    </xf>
    <xf numFmtId="0" fontId="8" fillId="8" borderId="87" xfId="0" applyFont="1" applyFill="1" applyBorder="1" applyAlignment="1">
      <alignment horizontal="center" vertical="center"/>
    </xf>
    <xf numFmtId="0" fontId="8" fillId="8" borderId="19" xfId="0" applyFont="1" applyFill="1" applyBorder="1" applyAlignment="1">
      <alignment horizontal="center" vertical="center"/>
    </xf>
    <xf numFmtId="0" fontId="8" fillId="8" borderId="0" xfId="0" applyFont="1" applyFill="1" applyAlignment="1">
      <alignment horizontal="center" vertical="center"/>
    </xf>
    <xf numFmtId="0" fontId="8" fillId="8" borderId="12"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86" xfId="0" applyFont="1" applyFill="1" applyBorder="1" applyAlignment="1">
      <alignment horizontal="center" vertical="center"/>
    </xf>
    <xf numFmtId="0" fontId="8" fillId="8" borderId="88" xfId="0" applyFont="1" applyFill="1" applyBorder="1" applyAlignment="1">
      <alignment horizontal="center" vertical="center"/>
    </xf>
    <xf numFmtId="0" fontId="42" fillId="6" borderId="96" xfId="0" applyFont="1" applyFill="1" applyBorder="1" applyAlignment="1">
      <alignment horizontal="center" vertical="center"/>
    </xf>
    <xf numFmtId="0" fontId="42" fillId="6" borderId="97" xfId="0" applyFont="1" applyFill="1" applyBorder="1" applyAlignment="1">
      <alignment horizontal="center" vertical="center"/>
    </xf>
    <xf numFmtId="0" fontId="42" fillId="6" borderId="98" xfId="0" applyFont="1" applyFill="1" applyBorder="1" applyAlignment="1">
      <alignment horizontal="center" vertical="center"/>
    </xf>
    <xf numFmtId="0" fontId="42" fillId="17" borderId="96" xfId="0" applyFont="1" applyFill="1" applyBorder="1" applyAlignment="1">
      <alignment horizontal="center"/>
    </xf>
    <xf numFmtId="0" fontId="42" fillId="17" borderId="97" xfId="0" applyFont="1" applyFill="1" applyBorder="1" applyAlignment="1">
      <alignment horizontal="center"/>
    </xf>
    <xf numFmtId="0" fontId="42" fillId="17" borderId="98" xfId="0" applyFont="1" applyFill="1" applyBorder="1" applyAlignment="1">
      <alignment horizontal="center"/>
    </xf>
    <xf numFmtId="0" fontId="42" fillId="17" borderId="96" xfId="0" applyFont="1" applyFill="1" applyBorder="1" applyAlignment="1">
      <alignment horizontal="center" vertical="center"/>
    </xf>
    <xf numFmtId="0" fontId="42" fillId="17" borderId="97" xfId="0" applyFont="1" applyFill="1" applyBorder="1" applyAlignment="1">
      <alignment horizontal="center" vertical="center"/>
    </xf>
    <xf numFmtId="0" fontId="42" fillId="17" borderId="98" xfId="0" applyFont="1" applyFill="1" applyBorder="1" applyAlignment="1">
      <alignment horizontal="center" vertical="center"/>
    </xf>
  </cellXfs>
  <cellStyles count="8">
    <cellStyle name="Comma" xfId="1" builtinId="3"/>
    <cellStyle name="Currency 2" xfId="5" xr:uid="{00000000-0005-0000-0000-000000000000}"/>
    <cellStyle name="Hyperlink" xfId="7" builtinId="8"/>
    <cellStyle name="Normal" xfId="0" builtinId="0"/>
    <cellStyle name="Normal 2" xfId="2" xr:uid="{00000000-0005-0000-0000-000003000000}"/>
    <cellStyle name="Normal 3" xfId="4" xr:uid="{00000000-0005-0000-0000-000004000000}"/>
    <cellStyle name="Normal 6" xfId="6" xr:uid="{00000000-0005-0000-0000-000005000000}"/>
    <cellStyle name="Per cent" xfId="3" builtinId="5"/>
  </cellStyles>
  <dxfs count="0"/>
  <tableStyles count="0" defaultTableStyle="TableStyleMedium9"/>
  <colors>
    <mruColors>
      <color rgb="FF009DDC"/>
      <color rgb="FFFED366"/>
      <color rgb="FFFFFF00"/>
      <color rgb="FFAFEE32"/>
      <color rgb="FFFDB605"/>
      <color rgb="FF3543E3"/>
      <color rgb="FFFF5050"/>
      <color rgb="FFCC66FF"/>
      <color rgb="FF717AEB"/>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sng" strike="noStrike" kern="1200" spc="0" baseline="0">
                <a:solidFill>
                  <a:schemeClr val="tx1"/>
                </a:solidFill>
                <a:latin typeface="Poppins" panose="00000500000000000000" pitchFamily="2" charset="0"/>
                <a:ea typeface="+mn-ea"/>
                <a:cs typeface="Poppins" panose="00000500000000000000" pitchFamily="2" charset="0"/>
              </a:defRPr>
            </a:pPr>
            <a:r>
              <a:rPr lang="en-GB" sz="2400" u="sng">
                <a:solidFill>
                  <a:schemeClr val="tx1"/>
                </a:solidFill>
              </a:rPr>
              <a:t>Estimated Emission Removals</a:t>
            </a:r>
          </a:p>
        </c:rich>
      </c:tx>
      <c:overlay val="0"/>
      <c:spPr>
        <a:noFill/>
        <a:ln>
          <a:noFill/>
        </a:ln>
        <a:effectLst/>
      </c:spPr>
      <c:txPr>
        <a:bodyPr rot="0" spcFirstLastPara="1" vertOverflow="ellipsis" vert="horz" wrap="square" anchor="ctr" anchorCtr="1"/>
        <a:lstStyle/>
        <a:p>
          <a:pPr>
            <a:defRPr sz="2400" b="0" i="0" u="sng" strike="noStrike" kern="1200" spc="0" baseline="0">
              <a:solidFill>
                <a:schemeClr val="tx1"/>
              </a:solidFill>
              <a:latin typeface="Poppins" panose="00000500000000000000" pitchFamily="2" charset="0"/>
              <a:ea typeface="+mn-ea"/>
              <a:cs typeface="Poppins" panose="00000500000000000000" pitchFamily="2" charset="0"/>
            </a:defRPr>
          </a:pPr>
          <a:endParaRPr lang="en-US"/>
        </a:p>
      </c:txPr>
    </c:title>
    <c:autoTitleDeleted val="0"/>
    <c:plotArea>
      <c:layout>
        <c:manualLayout>
          <c:layoutTarget val="inner"/>
          <c:xMode val="edge"/>
          <c:yMode val="edge"/>
          <c:x val="0.14957787807219544"/>
          <c:y val="0.17873593649271233"/>
          <c:w val="0.66204825729363936"/>
          <c:h val="0.61525226700880797"/>
        </c:manualLayout>
      </c:layout>
      <c:barChart>
        <c:barDir val="col"/>
        <c:grouping val="clustered"/>
        <c:varyColors val="0"/>
        <c:ser>
          <c:idx val="0"/>
          <c:order val="0"/>
          <c:tx>
            <c:strRef>
              <c:f>'Carbon Estimates'!$B$22</c:f>
              <c:strCache>
                <c:ptCount val="1"/>
                <c:pt idx="0">
                  <c:v>Emissions</c:v>
                </c:pt>
              </c:strCache>
            </c:strRef>
          </c:tx>
          <c:spPr>
            <a:solidFill>
              <a:srgbClr val="00B050"/>
            </a:solidFill>
            <a:ln>
              <a:noFill/>
            </a:ln>
            <a:effectLst/>
          </c:spPr>
          <c:invertIfNegative val="0"/>
          <c:val>
            <c:numRef>
              <c:f>'Carbon Estimates'!$C$22:$M$22</c:f>
              <c:numCache>
                <c:formatCode>_(* #,##0.00_);_(* \(#,##0.00\);_(* "-"??_);_(@_)</c:formatCode>
                <c:ptCount val="11"/>
                <c:pt idx="1">
                  <c:v>7.7550976361199995</c:v>
                </c:pt>
                <c:pt idx="2">
                  <c:v>7.7550976361199995</c:v>
                </c:pt>
                <c:pt idx="3">
                  <c:v>7.7550976361199995</c:v>
                </c:pt>
                <c:pt idx="4">
                  <c:v>7.7550976361199995</c:v>
                </c:pt>
                <c:pt idx="5">
                  <c:v>7.7550976361199995</c:v>
                </c:pt>
                <c:pt idx="6">
                  <c:v>7.7550976361199995</c:v>
                </c:pt>
                <c:pt idx="7">
                  <c:v>7.7550976361199995</c:v>
                </c:pt>
                <c:pt idx="8">
                  <c:v>7.7550976361199995</c:v>
                </c:pt>
                <c:pt idx="9">
                  <c:v>7.7550976361199995</c:v>
                </c:pt>
                <c:pt idx="10">
                  <c:v>7.7550976361199995</c:v>
                </c:pt>
              </c:numCache>
            </c:numRef>
          </c:val>
          <c:extLst>
            <c:ext xmlns:c16="http://schemas.microsoft.com/office/drawing/2014/chart" uri="{C3380CC4-5D6E-409C-BE32-E72D297353CC}">
              <c16:uniqueId val="{00000000-A44F-43C5-8D1F-8A083309D77D}"/>
            </c:ext>
          </c:extLst>
        </c:ser>
        <c:ser>
          <c:idx val="1"/>
          <c:order val="1"/>
          <c:tx>
            <c:strRef>
              <c:f>'Carbon Estimates'!$B$21</c:f>
              <c:strCache>
                <c:ptCount val="1"/>
                <c:pt idx="0">
                  <c:v>Removals from SOC</c:v>
                </c:pt>
              </c:strCache>
            </c:strRef>
          </c:tx>
          <c:spPr>
            <a:solidFill>
              <a:schemeClr val="accent3"/>
            </a:solidFill>
            <a:ln>
              <a:noFill/>
            </a:ln>
            <a:effectLst/>
          </c:spPr>
          <c:invertIfNegative val="0"/>
          <c:val>
            <c:numRef>
              <c:f>'Carbon Estimates'!$C$21:$M$21</c:f>
              <c:numCache>
                <c:formatCode>_(* #,##0.00_);_(* \(#,##0.00\);_(* "-"??_);_(@_)</c:formatCode>
                <c:ptCount val="11"/>
                <c:pt idx="1">
                  <c:v>500</c:v>
                </c:pt>
                <c:pt idx="2">
                  <c:v>500</c:v>
                </c:pt>
                <c:pt idx="3">
                  <c:v>500</c:v>
                </c:pt>
                <c:pt idx="4">
                  <c:v>500</c:v>
                </c:pt>
                <c:pt idx="5">
                  <c:v>500</c:v>
                </c:pt>
                <c:pt idx="6">
                  <c:v>500</c:v>
                </c:pt>
                <c:pt idx="7">
                  <c:v>500</c:v>
                </c:pt>
                <c:pt idx="8">
                  <c:v>500</c:v>
                </c:pt>
                <c:pt idx="9">
                  <c:v>500</c:v>
                </c:pt>
                <c:pt idx="10">
                  <c:v>500</c:v>
                </c:pt>
              </c:numCache>
            </c:numRef>
          </c:val>
          <c:extLst>
            <c:ext xmlns:c16="http://schemas.microsoft.com/office/drawing/2014/chart" uri="{C3380CC4-5D6E-409C-BE32-E72D297353CC}">
              <c16:uniqueId val="{00000001-A44F-43C5-8D1F-8A083309D77D}"/>
            </c:ext>
          </c:extLst>
        </c:ser>
        <c:dLbls>
          <c:showLegendKey val="0"/>
          <c:showVal val="0"/>
          <c:showCatName val="0"/>
          <c:showSerName val="0"/>
          <c:showPercent val="0"/>
          <c:showBubbleSize val="0"/>
        </c:dLbls>
        <c:gapWidth val="219"/>
        <c:overlap val="-27"/>
        <c:axId val="254995295"/>
        <c:axId val="254995623"/>
      </c:barChart>
      <c:lineChart>
        <c:grouping val="standard"/>
        <c:varyColors val="0"/>
        <c:ser>
          <c:idx val="2"/>
          <c:order val="2"/>
          <c:tx>
            <c:strRef>
              <c:f>'Carbon Estimates'!$B$25</c:f>
              <c:strCache>
                <c:ptCount val="1"/>
                <c:pt idx="0">
                  <c:v>Net Emission Removals (tCO2e)</c:v>
                </c:pt>
              </c:strCache>
            </c:strRef>
          </c:tx>
          <c:spPr>
            <a:ln w="28575" cap="rnd">
              <a:solidFill>
                <a:schemeClr val="tx1"/>
              </a:solidFill>
              <a:round/>
            </a:ln>
            <a:effectLst/>
          </c:spPr>
          <c:marker>
            <c:symbol val="none"/>
          </c:marker>
          <c:val>
            <c:numRef>
              <c:f>'Carbon Estimates'!$C$25:$M$25</c:f>
              <c:numCache>
                <c:formatCode>_(* #,##0.00_);_(* \(#,##0.00\);_(* "-"??_);_(@_)</c:formatCode>
                <c:ptCount val="11"/>
                <c:pt idx="0">
                  <c:v>0</c:v>
                </c:pt>
                <c:pt idx="1">
                  <c:v>343.02041212749197</c:v>
                </c:pt>
                <c:pt idx="2">
                  <c:v>343.02041212749197</c:v>
                </c:pt>
                <c:pt idx="3">
                  <c:v>343.02041212749197</c:v>
                </c:pt>
                <c:pt idx="4">
                  <c:v>343.02041212749197</c:v>
                </c:pt>
                <c:pt idx="5">
                  <c:v>343.02041212749197</c:v>
                </c:pt>
                <c:pt idx="6">
                  <c:v>343.02041212749197</c:v>
                </c:pt>
                <c:pt idx="7">
                  <c:v>343.02041212749197</c:v>
                </c:pt>
                <c:pt idx="8">
                  <c:v>343.02041212749197</c:v>
                </c:pt>
                <c:pt idx="9">
                  <c:v>343.02041212749197</c:v>
                </c:pt>
                <c:pt idx="10">
                  <c:v>343.02041212749197</c:v>
                </c:pt>
              </c:numCache>
            </c:numRef>
          </c:val>
          <c:smooth val="0"/>
          <c:extLst>
            <c:ext xmlns:c16="http://schemas.microsoft.com/office/drawing/2014/chart" uri="{C3380CC4-5D6E-409C-BE32-E72D297353CC}">
              <c16:uniqueId val="{00000002-A44F-43C5-8D1F-8A083309D77D}"/>
            </c:ext>
          </c:extLst>
        </c:ser>
        <c:dLbls>
          <c:showLegendKey val="0"/>
          <c:showVal val="0"/>
          <c:showCatName val="0"/>
          <c:showSerName val="0"/>
          <c:showPercent val="0"/>
          <c:showBubbleSize val="0"/>
        </c:dLbls>
        <c:marker val="1"/>
        <c:smooth val="0"/>
        <c:axId val="254995295"/>
        <c:axId val="254995623"/>
      </c:lineChart>
      <c:catAx>
        <c:axId val="254995295"/>
        <c:scaling>
          <c:orientation val="minMax"/>
        </c:scaling>
        <c:delete val="0"/>
        <c:axPos val="b"/>
        <c:title>
          <c:tx>
            <c:rich>
              <a:bodyPr rot="0" spcFirstLastPara="1" vertOverflow="ellipsis" vert="horz" wrap="square" anchor="ctr" anchorCtr="1"/>
              <a:lstStyle/>
              <a:p>
                <a:pPr>
                  <a:defRPr sz="2000" b="1" i="0" u="none" strike="noStrike" kern="1200" baseline="0">
                    <a:solidFill>
                      <a:schemeClr val="tx1"/>
                    </a:solidFill>
                    <a:latin typeface="Poppins" panose="00000500000000000000" pitchFamily="2" charset="0"/>
                    <a:ea typeface="+mn-ea"/>
                    <a:cs typeface="Poppins" panose="00000500000000000000" pitchFamily="2" charset="0"/>
                  </a:defRPr>
                </a:pPr>
                <a:r>
                  <a:rPr lang="en-GB" sz="2000" b="1">
                    <a:solidFill>
                      <a:schemeClr val="tx1"/>
                    </a:solidFill>
                  </a:rPr>
                  <a:t>Years</a:t>
                </a:r>
              </a:p>
            </c:rich>
          </c:tx>
          <c:overlay val="0"/>
          <c:spPr>
            <a:noFill/>
            <a:ln>
              <a:noFill/>
            </a:ln>
            <a:effectLst/>
          </c:spPr>
          <c:txPr>
            <a:bodyPr rot="0" spcFirstLastPara="1" vertOverflow="ellipsis" vert="horz" wrap="square" anchor="ctr" anchorCtr="1"/>
            <a:lstStyle/>
            <a:p>
              <a:pPr>
                <a:defRPr sz="2000" b="1" i="0" u="none" strike="noStrike" kern="1200" baseline="0">
                  <a:solidFill>
                    <a:schemeClr val="tx1"/>
                  </a:solidFill>
                  <a:latin typeface="Poppins" panose="00000500000000000000" pitchFamily="2" charset="0"/>
                  <a:ea typeface="+mn-ea"/>
                  <a:cs typeface="Poppins" panose="00000500000000000000" pitchFamily="2" charset="0"/>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254995623"/>
        <c:crosses val="autoZero"/>
        <c:auto val="1"/>
        <c:lblAlgn val="ctr"/>
        <c:lblOffset val="100"/>
        <c:noMultiLvlLbl val="0"/>
      </c:catAx>
      <c:valAx>
        <c:axId val="2549956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1" i="0" u="none" strike="noStrike" kern="1200" baseline="0">
                    <a:solidFill>
                      <a:schemeClr val="tx1"/>
                    </a:solidFill>
                    <a:latin typeface="Poppins" panose="00000500000000000000" pitchFamily="2" charset="0"/>
                    <a:ea typeface="+mn-ea"/>
                    <a:cs typeface="Poppins" panose="00000500000000000000" pitchFamily="2" charset="0"/>
                  </a:defRPr>
                </a:pPr>
                <a:r>
                  <a:rPr lang="en-GB" sz="2000" b="1">
                    <a:solidFill>
                      <a:schemeClr val="tx1"/>
                    </a:solidFill>
                  </a:rPr>
                  <a:t>Emission Removals (tCO2e)</a:t>
                </a:r>
              </a:p>
            </c:rich>
          </c:tx>
          <c:layout>
            <c:manualLayout>
              <c:xMode val="edge"/>
              <c:yMode val="edge"/>
              <c:x val="1.0078522693658698E-2"/>
              <c:y val="0.16352897142109074"/>
            </c:manualLayout>
          </c:layout>
          <c:overlay val="0"/>
          <c:spPr>
            <a:noFill/>
            <a:ln>
              <a:noFill/>
            </a:ln>
            <a:effectLst/>
          </c:spPr>
          <c:txPr>
            <a:bodyPr rot="-5400000" spcFirstLastPara="1" vertOverflow="ellipsis" vert="horz" wrap="square" anchor="ctr" anchorCtr="1"/>
            <a:lstStyle/>
            <a:p>
              <a:pPr>
                <a:defRPr sz="2000" b="1" i="0" u="none" strike="noStrike" kern="1200" baseline="0">
                  <a:solidFill>
                    <a:schemeClr val="tx1"/>
                  </a:solidFill>
                  <a:latin typeface="Poppins" panose="00000500000000000000" pitchFamily="2" charset="0"/>
                  <a:ea typeface="+mn-ea"/>
                  <a:cs typeface="Poppins" panose="00000500000000000000" pitchFamily="2"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Poppins" panose="00000500000000000000" pitchFamily="2" charset="0"/>
                <a:ea typeface="+mn-ea"/>
                <a:cs typeface="Poppins" panose="00000500000000000000" pitchFamily="2" charset="0"/>
              </a:defRPr>
            </a:pPr>
            <a:endParaRPr lang="en-US"/>
          </a:p>
        </c:txPr>
        <c:crossAx val="2549952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latin typeface="Poppins" panose="00000500000000000000" pitchFamily="2" charset="0"/>
          <a:cs typeface="Poppins" panose="00000500000000000000" pitchFamily="2"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sz="1650" b="1" i="0" u="none" strike="noStrike" baseline="0">
                <a:solidFill>
                  <a:srgbClr val="000000"/>
                </a:solidFill>
                <a:latin typeface="Arial"/>
                <a:ea typeface="Arial"/>
                <a:cs typeface="Arial"/>
              </a:defRPr>
            </a:pPr>
            <a:r>
              <a:rPr lang="en-GB"/>
              <a:t>REDD credit generation</a:t>
            </a:r>
          </a:p>
        </c:rich>
      </c:tx>
      <c:layout>
        <c:manualLayout>
          <c:xMode val="edge"/>
          <c:yMode val="edge"/>
          <c:x val="0.35434035542693199"/>
          <c:y val="3.0172486717306001E-2"/>
        </c:manualLayout>
      </c:layout>
      <c:overlay val="0"/>
      <c:spPr>
        <a:noFill/>
        <a:ln w="25400">
          <a:noFill/>
        </a:ln>
      </c:spPr>
    </c:title>
    <c:autoTitleDeleted val="0"/>
    <c:plotArea>
      <c:layout/>
      <c:barChart>
        <c:barDir val="col"/>
        <c:grouping val="clustered"/>
        <c:varyColors val="0"/>
        <c:ser>
          <c:idx val="3"/>
          <c:order val="2"/>
          <c:spPr>
            <a:solidFill>
              <a:srgbClr val="CC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F4A0-D74A-9E81-A0A13D414817}"/>
            </c:ext>
          </c:extLst>
        </c:ser>
        <c:dLbls>
          <c:showLegendKey val="0"/>
          <c:showVal val="0"/>
          <c:showCatName val="0"/>
          <c:showSerName val="0"/>
          <c:showPercent val="0"/>
          <c:showBubbleSize val="0"/>
        </c:dLbls>
        <c:gapWidth val="150"/>
        <c:axId val="511361608"/>
        <c:axId val="540623000"/>
      </c:barChar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F4A0-D74A-9E81-A0A13D414817}"/>
            </c:ext>
          </c:extLst>
        </c:ser>
        <c:ser>
          <c:idx val="2"/>
          <c:order val="1"/>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F4A0-D74A-9E81-A0A13D414817}"/>
            </c:ext>
          </c:extLst>
        </c:ser>
        <c:dLbls>
          <c:showLegendKey val="0"/>
          <c:showVal val="0"/>
          <c:showCatName val="0"/>
          <c:showSerName val="0"/>
          <c:showPercent val="0"/>
          <c:showBubbleSize val="0"/>
        </c:dLbls>
        <c:marker val="1"/>
        <c:smooth val="0"/>
        <c:axId val="511361608"/>
        <c:axId val="540623000"/>
      </c:lineChart>
      <c:catAx>
        <c:axId val="511361608"/>
        <c:scaling>
          <c:orientation val="minMax"/>
        </c:scaling>
        <c:delete val="0"/>
        <c:axPos val="b"/>
        <c:title>
          <c:tx>
            <c:rich>
              <a:bodyPr/>
              <a:lstStyle/>
              <a:p>
                <a:pPr>
                  <a:defRPr lang="en-GB" sz="1200" b="1" i="0" u="none" strike="noStrike" baseline="0">
                    <a:solidFill>
                      <a:srgbClr val="000000"/>
                    </a:solidFill>
                    <a:latin typeface="Arial"/>
                    <a:ea typeface="Arial"/>
                    <a:cs typeface="Arial"/>
                  </a:defRPr>
                </a:pPr>
                <a:r>
                  <a:rPr lang="en-GB"/>
                  <a:t>project lifetime in years</a:t>
                </a:r>
              </a:p>
            </c:rich>
          </c:tx>
          <c:layout>
            <c:manualLayout>
              <c:xMode val="edge"/>
              <c:yMode val="edge"/>
              <c:x val="0.35790752886199501"/>
              <c:y val="0.905172515687195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GB" sz="800" b="0" i="0" u="none" strike="noStrike" baseline="0">
                <a:solidFill>
                  <a:srgbClr val="000000"/>
                </a:solidFill>
                <a:latin typeface="Arial"/>
                <a:ea typeface="Arial"/>
                <a:cs typeface="Arial"/>
              </a:defRPr>
            </a:pPr>
            <a:endParaRPr lang="en-US"/>
          </a:p>
        </c:txPr>
        <c:crossAx val="540623000"/>
        <c:crosses val="autoZero"/>
        <c:auto val="1"/>
        <c:lblAlgn val="ctr"/>
        <c:lblOffset val="100"/>
        <c:tickLblSkip val="2"/>
        <c:tickMarkSkip val="1"/>
        <c:noMultiLvlLbl val="0"/>
      </c:catAx>
      <c:valAx>
        <c:axId val="540623000"/>
        <c:scaling>
          <c:orientation val="minMax"/>
        </c:scaling>
        <c:delete val="0"/>
        <c:axPos val="l"/>
        <c:majorGridlines>
          <c:spPr>
            <a:ln w="3175">
              <a:solidFill>
                <a:srgbClr val="000000"/>
              </a:solidFill>
              <a:prstDash val="solid"/>
            </a:ln>
          </c:spPr>
        </c:majorGridlines>
        <c:title>
          <c:tx>
            <c:rich>
              <a:bodyPr/>
              <a:lstStyle/>
              <a:p>
                <a:pPr>
                  <a:defRPr lang="en-GB" sz="1200" b="1" i="0" u="none" strike="noStrike" baseline="0">
                    <a:solidFill>
                      <a:srgbClr val="000000"/>
                    </a:solidFill>
                    <a:latin typeface="Arial"/>
                    <a:ea typeface="Arial"/>
                    <a:cs typeface="Arial"/>
                  </a:defRPr>
                </a:pPr>
                <a:r>
                  <a:rPr lang="en-GB"/>
                  <a:t>Hectares of forest </a:t>
                </a:r>
              </a:p>
            </c:rich>
          </c:tx>
          <c:layout>
            <c:manualLayout>
              <c:xMode val="edge"/>
              <c:yMode val="edge"/>
              <c:x val="1.9024924987001899E-2"/>
              <c:y val="0.3620689135712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GB" sz="1100" b="0" i="0" u="none" strike="noStrike" baseline="0">
                <a:solidFill>
                  <a:srgbClr val="000000"/>
                </a:solidFill>
                <a:latin typeface="Arial"/>
                <a:ea typeface="Arial"/>
                <a:cs typeface="Arial"/>
              </a:defRPr>
            </a:pPr>
            <a:endParaRPr lang="en-US"/>
          </a:p>
        </c:txPr>
        <c:crossAx val="51136160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lang="en-GB"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500000199" footer="0.49212598500000199"/>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37054</xdr:colOff>
      <xdr:row>1</xdr:row>
      <xdr:rowOff>3555</xdr:rowOff>
    </xdr:from>
    <xdr:to>
      <xdr:col>2</xdr:col>
      <xdr:colOff>2216150</xdr:colOff>
      <xdr:row>2</xdr:row>
      <xdr:rowOff>148068</xdr:rowOff>
    </xdr:to>
    <xdr:pic>
      <xdr:nvPicPr>
        <xdr:cNvPr id="2" name="Picture 1" descr="Logo, company name&#10;&#10;Description automatically generated">
          <a:extLst>
            <a:ext uri="{FF2B5EF4-FFF2-40B4-BE49-F238E27FC236}">
              <a16:creationId xmlns:a16="http://schemas.microsoft.com/office/drawing/2014/main" id="{60E61714-F433-4D05-83DB-10786DD5BFF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4418" b="34082"/>
        <a:stretch/>
      </xdr:blipFill>
      <xdr:spPr>
        <a:xfrm>
          <a:off x="448534" y="255015"/>
          <a:ext cx="2187986" cy="388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257446</xdr:colOff>
      <xdr:row>1</xdr:row>
      <xdr:rowOff>27214</xdr:rowOff>
    </xdr:from>
    <xdr:to>
      <xdr:col>13</xdr:col>
      <xdr:colOff>0</xdr:colOff>
      <xdr:row>16</xdr:row>
      <xdr:rowOff>369794</xdr:rowOff>
    </xdr:to>
    <xdr:graphicFrame macro="">
      <xdr:nvGraphicFramePr>
        <xdr:cNvPr id="3" name="Chart 2">
          <a:extLst>
            <a:ext uri="{FF2B5EF4-FFF2-40B4-BE49-F238E27FC236}">
              <a16:creationId xmlns:a16="http://schemas.microsoft.com/office/drawing/2014/main" id="{95B28C38-0D60-4A60-ADEF-6019B9EA01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28575</xdr:colOff>
      <xdr:row>1</xdr:row>
      <xdr:rowOff>0</xdr:rowOff>
    </xdr:from>
    <xdr:to>
      <xdr:col>10</xdr:col>
      <xdr:colOff>0</xdr:colOff>
      <xdr:row>1</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luxo">
  <a:themeElements>
    <a:clrScheme name="Fluxo">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Fluxo">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luxo">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ipcc-nggip.iges.or.jp/public/2019rf/pdf/4_Volume4/19R_V4_Ch10_Livestock.pdf" TargetMode="External"/><Relationship Id="rId13" Type="http://schemas.openxmlformats.org/officeDocument/2006/relationships/comments" Target="../comments1.xml"/><Relationship Id="rId3" Type="http://schemas.openxmlformats.org/officeDocument/2006/relationships/hyperlink" Target="https://www.ipcc-nggip.iges.or.jp/public/2019rf/pdf/4_Volume4/19R_V4_Ch10_Livestock.pdf" TargetMode="External"/><Relationship Id="rId7" Type="http://schemas.openxmlformats.org/officeDocument/2006/relationships/hyperlink" Target="https://www.ipcc-nggip.iges.or.jp/public/2019rf/pdf/4_Volume4/19R_V4_Ch10_Livestock.pdf" TargetMode="External"/><Relationship Id="rId12" Type="http://schemas.openxmlformats.org/officeDocument/2006/relationships/vmlDrawing" Target="../drawings/vmlDrawing1.vml"/><Relationship Id="rId2" Type="http://schemas.openxmlformats.org/officeDocument/2006/relationships/hyperlink" Target="https://www.ipcc-nggip.iges.or.jp/public/2019rf/pdf/4_Volume4/19R_V4_Ch10_Livestock.pdf" TargetMode="External"/><Relationship Id="rId1" Type="http://schemas.openxmlformats.org/officeDocument/2006/relationships/hyperlink" Target="https://www.ipcc-nggip.iges.or.jp/public/2019rf/pdf/4_Volume4/19R_V4_Ch10_Livestock.pdf" TargetMode="External"/><Relationship Id="rId6" Type="http://schemas.openxmlformats.org/officeDocument/2006/relationships/hyperlink" Target="https://www.ipcc-nggip.iges.or.jp/public/2019rf/pdf/4_Volume4/19R_V4_Ch10_Livestock.pdf" TargetMode="External"/><Relationship Id="rId11" Type="http://schemas.openxmlformats.org/officeDocument/2006/relationships/printerSettings" Target="../printerSettings/printerSettings1.bin"/><Relationship Id="rId5" Type="http://schemas.openxmlformats.org/officeDocument/2006/relationships/hyperlink" Target="https://www.ipcc-nggip.iges.or.jp/public/2019rf/pdf/4_Volume4/19R_V4_Ch10_Livestock.pdf" TargetMode="External"/><Relationship Id="rId10" Type="http://schemas.openxmlformats.org/officeDocument/2006/relationships/hyperlink" Target="https://www.ipcc-nggip.iges.or.jp/public/2019rf/pdf/4_Volume4/19R_V4_Ch10_Livestock.pdf" TargetMode="External"/><Relationship Id="rId4" Type="http://schemas.openxmlformats.org/officeDocument/2006/relationships/hyperlink" Target="https://www.ipcc-nggip.iges.or.jp/public/2019rf/pdf/4_Volume4/19R_V4_Ch10_Livestock.pdf" TargetMode="External"/><Relationship Id="rId9" Type="http://schemas.openxmlformats.org/officeDocument/2006/relationships/hyperlink" Target="https://www.ipcc-nggip.iges.or.jp/public/2019rf/pdf/4_Volume4/19R_V4_Ch10_Livestock.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ahdb.org.uk/knowledge-library/using-farmyard-manure-fym"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4:D8"/>
  <sheetViews>
    <sheetView tabSelected="1" zoomScale="115" zoomScaleNormal="115" workbookViewId="0">
      <selection activeCell="C5" sqref="C5"/>
    </sheetView>
  </sheetViews>
  <sheetFormatPr defaultColWidth="0" defaultRowHeight="19.8" x14ac:dyDescent="0.7"/>
  <cols>
    <col min="1" max="1" width="2.6640625" style="27" customWidth="1"/>
    <col min="2" max="2" width="3.33203125" style="27" customWidth="1"/>
    <col min="3" max="3" width="74.6640625" style="27" customWidth="1"/>
    <col min="4" max="4" width="8.88671875" style="27" customWidth="1"/>
    <col min="5" max="16384" width="8.88671875" style="27" hidden="1"/>
  </cols>
  <sheetData>
    <row r="4" spans="2:3" x14ac:dyDescent="0.7">
      <c r="C4" s="28" t="s">
        <v>0</v>
      </c>
    </row>
    <row r="5" spans="2:3" ht="211.95" customHeight="1" x14ac:dyDescent="0.7">
      <c r="C5" s="29" t="s">
        <v>323</v>
      </c>
    </row>
    <row r="7" spans="2:3" x14ac:dyDescent="0.7">
      <c r="C7" s="28" t="s">
        <v>1</v>
      </c>
    </row>
    <row r="8" spans="2:3" x14ac:dyDescent="0.7">
      <c r="B8" s="30"/>
      <c r="C8" s="31" t="s">
        <v>2</v>
      </c>
    </row>
  </sheetData>
  <sheetProtection algorithmName="SHA-512" hashValue="ZllGh0mWYYuH7QukKVOH1rVzei+g1k3hOCnj+ZBEIv6RVo7t4fEGE1WzYad0YSK55rNXRXCoUb5leD+sZLzwgg==" saltValue="VrMTNyy35TaMNm2G4sRGI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L200"/>
  <sheetViews>
    <sheetView topLeftCell="C1" zoomScale="85" zoomScaleNormal="85" workbookViewId="0">
      <pane ySplit="7" topLeftCell="A8" activePane="bottomLeft" state="frozen"/>
      <selection activeCell="C1" sqref="C1"/>
      <selection pane="bottomLeft" activeCell="D3" sqref="D3"/>
    </sheetView>
  </sheetViews>
  <sheetFormatPr defaultColWidth="8.88671875" defaultRowHeight="19.8" x14ac:dyDescent="0.25"/>
  <cols>
    <col min="1" max="2" width="0" style="31" hidden="1" customWidth="1"/>
    <col min="3" max="3" width="5.109375" style="8" customWidth="1"/>
    <col min="4" max="4" width="29.6640625" style="214" customWidth="1"/>
    <col min="5" max="5" width="22.109375" style="8" customWidth="1"/>
    <col min="6" max="6" width="49.44140625" style="8" customWidth="1"/>
    <col min="7" max="7" width="35.33203125" style="8" customWidth="1"/>
    <col min="8" max="8" width="7.33203125" style="8" customWidth="1"/>
    <col min="9" max="9" width="16.44140625" style="8" customWidth="1"/>
    <col min="10" max="10" width="47.33203125" style="8" customWidth="1"/>
    <col min="11" max="11" width="35.5546875" style="8" customWidth="1"/>
    <col min="12" max="12" width="8.88671875" style="8"/>
    <col min="13" max="72" width="9.109375" style="31" customWidth="1"/>
    <col min="73" max="16384" width="8.88671875" style="31"/>
  </cols>
  <sheetData>
    <row r="1" spans="3:12" s="31" customFormat="1" ht="20.399999999999999" thickBot="1" x14ac:dyDescent="0.3">
      <c r="D1" s="212"/>
    </row>
    <row r="2" spans="3:12" s="31" customFormat="1" ht="20.399999999999999" x14ac:dyDescent="0.25">
      <c r="D2" s="215" t="s">
        <v>5</v>
      </c>
      <c r="E2" s="215" t="s">
        <v>6</v>
      </c>
    </row>
    <row r="3" spans="3:12" s="31" customFormat="1" ht="20.399999999999999" thickBot="1" x14ac:dyDescent="0.3">
      <c r="D3" s="276" t="s">
        <v>165</v>
      </c>
      <c r="E3" s="277">
        <v>1000</v>
      </c>
    </row>
    <row r="4" spans="3:12" s="212" customFormat="1" ht="33" customHeight="1" thickBot="1" x14ac:dyDescent="0.3">
      <c r="D4" s="213"/>
      <c r="E4" s="213"/>
    </row>
    <row r="5" spans="3:12" s="212" customFormat="1" ht="27" thickBot="1" x14ac:dyDescent="0.3">
      <c r="D5" s="257"/>
      <c r="E5" s="311" t="s">
        <v>3</v>
      </c>
      <c r="F5" s="312"/>
      <c r="G5" s="313"/>
      <c r="H5" s="249"/>
      <c r="I5" s="292" t="s">
        <v>4</v>
      </c>
      <c r="J5" s="293"/>
      <c r="K5" s="294"/>
    </row>
    <row r="6" spans="3:12" s="31" customFormat="1" ht="25.95" hidden="1" customHeight="1" x14ac:dyDescent="0.25"/>
    <row r="7" spans="3:12" s="31" customFormat="1" ht="24" hidden="1" customHeight="1" x14ac:dyDescent="0.25"/>
    <row r="8" spans="3:12" s="31" customFormat="1" ht="20.399999999999999" thickBot="1" x14ac:dyDescent="0.3">
      <c r="D8" s="213"/>
      <c r="E8" s="29"/>
    </row>
    <row r="9" spans="3:12" ht="38.4" customHeight="1" x14ac:dyDescent="0.25">
      <c r="C9" s="31"/>
      <c r="D9" s="309" t="s">
        <v>8</v>
      </c>
      <c r="E9" s="267" t="s">
        <v>9</v>
      </c>
      <c r="F9" s="268" t="s">
        <v>10</v>
      </c>
      <c r="G9" s="269" t="s">
        <v>11</v>
      </c>
      <c r="H9" s="235"/>
      <c r="I9" s="258" t="s">
        <v>9</v>
      </c>
      <c r="J9" s="268" t="s">
        <v>10</v>
      </c>
      <c r="K9" s="269" t="s">
        <v>11</v>
      </c>
      <c r="L9" s="31"/>
    </row>
    <row r="10" spans="3:12" ht="42.6" customHeight="1" thickBot="1" x14ac:dyDescent="0.3">
      <c r="C10" s="31"/>
      <c r="D10" s="310"/>
      <c r="E10" s="278" t="s">
        <v>12</v>
      </c>
      <c r="F10" s="279">
        <v>0</v>
      </c>
      <c r="G10" s="280" t="s">
        <v>13</v>
      </c>
      <c r="H10" s="236"/>
      <c r="I10" s="285" t="s">
        <v>12</v>
      </c>
      <c r="J10" s="279">
        <v>1000</v>
      </c>
      <c r="K10" s="280" t="s">
        <v>13</v>
      </c>
      <c r="L10" s="31"/>
    </row>
    <row r="11" spans="3:12" ht="20.399999999999999" thickBot="1" x14ac:dyDescent="0.3">
      <c r="C11" s="31"/>
      <c r="D11" s="250"/>
      <c r="E11" s="251"/>
      <c r="F11" s="212"/>
      <c r="G11" s="212"/>
      <c r="H11" s="212"/>
      <c r="I11" s="213"/>
      <c r="J11" s="212"/>
      <c r="K11" s="212"/>
      <c r="L11" s="31"/>
    </row>
    <row r="12" spans="3:12" ht="39.6" customHeight="1" x14ac:dyDescent="0.25">
      <c r="C12" s="31"/>
      <c r="D12" s="309" t="s">
        <v>14</v>
      </c>
      <c r="E12" s="267" t="s">
        <v>9</v>
      </c>
      <c r="F12" s="268" t="s">
        <v>10</v>
      </c>
      <c r="G12" s="269" t="s">
        <v>11</v>
      </c>
      <c r="H12" s="235"/>
      <c r="I12" s="258" t="s">
        <v>9</v>
      </c>
      <c r="J12" s="268" t="s">
        <v>10</v>
      </c>
      <c r="K12" s="269" t="s">
        <v>11</v>
      </c>
      <c r="L12" s="31"/>
    </row>
    <row r="13" spans="3:12" ht="44.4" customHeight="1" thickBot="1" x14ac:dyDescent="0.3">
      <c r="C13" s="31"/>
      <c r="D13" s="310"/>
      <c r="E13" s="278" t="s">
        <v>12</v>
      </c>
      <c r="F13" s="279">
        <v>0</v>
      </c>
      <c r="G13" s="280" t="s">
        <v>13</v>
      </c>
      <c r="H13" s="236"/>
      <c r="I13" s="285" t="s">
        <v>15</v>
      </c>
      <c r="J13" s="279">
        <v>2000</v>
      </c>
      <c r="K13" s="280" t="s">
        <v>13</v>
      </c>
      <c r="L13" s="31"/>
    </row>
    <row r="14" spans="3:12" ht="20.399999999999999" thickBot="1" x14ac:dyDescent="0.3">
      <c r="C14" s="31"/>
      <c r="D14" s="250"/>
      <c r="E14" s="251"/>
      <c r="F14" s="212"/>
      <c r="G14" s="212"/>
      <c r="H14" s="212"/>
      <c r="I14" s="212"/>
      <c r="J14" s="212"/>
      <c r="K14" s="212"/>
      <c r="L14" s="31"/>
    </row>
    <row r="15" spans="3:12" ht="25.5" customHeight="1" x14ac:dyDescent="0.25">
      <c r="C15" s="31"/>
      <c r="D15" s="295" t="s">
        <v>16</v>
      </c>
      <c r="E15" s="255"/>
      <c r="F15" s="266" t="s">
        <v>17</v>
      </c>
      <c r="G15" s="237"/>
      <c r="H15" s="237"/>
      <c r="I15" s="237"/>
      <c r="J15" s="266" t="s">
        <v>17</v>
      </c>
      <c r="K15" s="238"/>
      <c r="L15" s="31"/>
    </row>
    <row r="16" spans="3:12" ht="20.399999999999999" customHeight="1" thickBot="1" x14ac:dyDescent="0.3">
      <c r="C16" s="31"/>
      <c r="D16" s="299"/>
      <c r="E16" s="256"/>
      <c r="F16" s="276">
        <v>0</v>
      </c>
      <c r="G16" s="239"/>
      <c r="H16" s="239"/>
      <c r="I16" s="239"/>
      <c r="J16" s="276">
        <v>0</v>
      </c>
      <c r="K16" s="240"/>
      <c r="L16" s="31"/>
    </row>
    <row r="17" spans="3:12" ht="20.399999999999999" thickBot="1" x14ac:dyDescent="0.3">
      <c r="C17" s="31"/>
      <c r="D17" s="250"/>
      <c r="E17" s="251"/>
      <c r="F17" s="212"/>
      <c r="G17" s="212"/>
      <c r="H17" s="212"/>
      <c r="I17" s="212"/>
      <c r="J17" s="212"/>
      <c r="K17" s="212"/>
      <c r="L17" s="31"/>
    </row>
    <row r="18" spans="3:12" ht="18" customHeight="1" x14ac:dyDescent="0.25">
      <c r="C18" s="31"/>
      <c r="D18" s="295" t="s">
        <v>18</v>
      </c>
      <c r="E18" s="264" t="s">
        <v>9</v>
      </c>
      <c r="F18" s="258" t="s">
        <v>19</v>
      </c>
      <c r="G18" s="265" t="s">
        <v>20</v>
      </c>
      <c r="H18" s="216"/>
      <c r="I18" s="216"/>
      <c r="J18" s="258" t="s">
        <v>19</v>
      </c>
      <c r="K18" s="265" t="s">
        <v>20</v>
      </c>
      <c r="L18" s="31"/>
    </row>
    <row r="19" spans="3:12" x14ac:dyDescent="0.25">
      <c r="C19" s="31"/>
      <c r="D19" s="297"/>
      <c r="E19" s="281" t="s">
        <v>21</v>
      </c>
      <c r="F19" s="282">
        <v>0</v>
      </c>
      <c r="G19" s="283">
        <v>0</v>
      </c>
      <c r="H19" s="212"/>
      <c r="I19" s="212"/>
      <c r="J19" s="282">
        <v>0</v>
      </c>
      <c r="K19" s="283">
        <v>0</v>
      </c>
      <c r="L19" s="31"/>
    </row>
    <row r="20" spans="3:12" ht="47.25" customHeight="1" x14ac:dyDescent="0.25">
      <c r="C20" s="31"/>
      <c r="D20" s="297"/>
      <c r="E20" s="252"/>
      <c r="F20" s="259" t="s">
        <v>22</v>
      </c>
      <c r="G20" s="263" t="s">
        <v>23</v>
      </c>
      <c r="H20" s="236"/>
      <c r="I20" s="236"/>
      <c r="J20" s="259" t="s">
        <v>22</v>
      </c>
      <c r="K20" s="263" t="s">
        <v>23</v>
      </c>
      <c r="L20" s="31"/>
    </row>
    <row r="21" spans="3:12" ht="20.399999999999999" x14ac:dyDescent="0.25">
      <c r="C21" s="31"/>
      <c r="D21" s="297"/>
      <c r="E21" s="252"/>
      <c r="F21" s="282">
        <v>0</v>
      </c>
      <c r="G21" s="241">
        <v>2.5</v>
      </c>
      <c r="H21" s="217"/>
      <c r="I21" s="217"/>
      <c r="J21" s="282">
        <v>0</v>
      </c>
      <c r="K21" s="241">
        <v>2.5</v>
      </c>
      <c r="L21" s="31"/>
    </row>
    <row r="22" spans="3:12" ht="18.75" customHeight="1" x14ac:dyDescent="0.25">
      <c r="C22" s="31"/>
      <c r="D22" s="297"/>
      <c r="E22" s="252"/>
      <c r="F22" s="218"/>
      <c r="G22" s="219"/>
      <c r="H22" s="236"/>
      <c r="I22" s="236"/>
      <c r="J22" s="242"/>
      <c r="K22" s="243"/>
      <c r="L22" s="31"/>
    </row>
    <row r="23" spans="3:12" ht="18" customHeight="1" x14ac:dyDescent="0.25">
      <c r="C23" s="31"/>
      <c r="D23" s="297"/>
      <c r="E23" s="261" t="s">
        <v>9</v>
      </c>
      <c r="F23" s="259" t="s">
        <v>19</v>
      </c>
      <c r="G23" s="262" t="s">
        <v>20</v>
      </c>
      <c r="H23" s="217"/>
      <c r="I23" s="217"/>
      <c r="J23" s="259" t="s">
        <v>19</v>
      </c>
      <c r="K23" s="262" t="s">
        <v>20</v>
      </c>
      <c r="L23" s="31"/>
    </row>
    <row r="24" spans="3:12" x14ac:dyDescent="0.25">
      <c r="C24" s="31"/>
      <c r="D24" s="297"/>
      <c r="E24" s="281" t="s">
        <v>21</v>
      </c>
      <c r="F24" s="282">
        <v>0</v>
      </c>
      <c r="G24" s="283">
        <v>0</v>
      </c>
      <c r="H24" s="212"/>
      <c r="I24" s="212"/>
      <c r="J24" s="282">
        <v>0</v>
      </c>
      <c r="K24" s="283">
        <v>0</v>
      </c>
      <c r="L24" s="31"/>
    </row>
    <row r="25" spans="3:12" ht="28.5" customHeight="1" x14ac:dyDescent="0.25">
      <c r="C25" s="31"/>
      <c r="D25" s="297"/>
      <c r="E25" s="252"/>
      <c r="F25" s="259" t="s">
        <v>22</v>
      </c>
      <c r="G25" s="263" t="s">
        <v>23</v>
      </c>
      <c r="H25" s="236"/>
      <c r="I25" s="236"/>
      <c r="J25" s="259" t="s">
        <v>22</v>
      </c>
      <c r="K25" s="263" t="s">
        <v>23</v>
      </c>
      <c r="L25" s="31"/>
    </row>
    <row r="26" spans="3:12" ht="20.399999999999999" x14ac:dyDescent="0.25">
      <c r="C26" s="31"/>
      <c r="D26" s="297"/>
      <c r="E26" s="252"/>
      <c r="F26" s="282">
        <v>0</v>
      </c>
      <c r="G26" s="241">
        <v>2.5</v>
      </c>
      <c r="H26" s="217"/>
      <c r="I26" s="217"/>
      <c r="J26" s="282">
        <v>0</v>
      </c>
      <c r="K26" s="241">
        <v>2.5</v>
      </c>
      <c r="L26" s="31"/>
    </row>
    <row r="27" spans="3:12" ht="21" thickBot="1" x14ac:dyDescent="0.3">
      <c r="C27" s="31"/>
      <c r="D27" s="297"/>
      <c r="E27" s="252"/>
      <c r="F27" s="244"/>
      <c r="G27" s="245"/>
      <c r="H27" s="236"/>
      <c r="I27" s="236"/>
      <c r="J27" s="242"/>
      <c r="K27" s="243"/>
      <c r="L27" s="31"/>
    </row>
    <row r="28" spans="3:12" ht="21" thickBot="1" x14ac:dyDescent="0.3">
      <c r="C28" s="31"/>
      <c r="D28" s="297"/>
      <c r="E28" s="261" t="s">
        <v>9</v>
      </c>
      <c r="F28" s="259" t="s">
        <v>19</v>
      </c>
      <c r="G28" s="262" t="s">
        <v>20</v>
      </c>
      <c r="H28" s="236"/>
      <c r="I28" s="236"/>
      <c r="J28" s="270" t="s">
        <v>19</v>
      </c>
      <c r="K28" s="271" t="s">
        <v>20</v>
      </c>
      <c r="L28" s="31"/>
    </row>
    <row r="29" spans="3:12" ht="20.399999999999999" x14ac:dyDescent="0.25">
      <c r="C29" s="31"/>
      <c r="D29" s="297"/>
      <c r="E29" s="284"/>
      <c r="F29" s="282"/>
      <c r="G29" s="283"/>
      <c r="H29" s="236"/>
      <c r="I29" s="236"/>
      <c r="J29" s="282"/>
      <c r="K29" s="290"/>
      <c r="L29" s="31"/>
    </row>
    <row r="30" spans="3:12" ht="39.6" x14ac:dyDescent="0.25">
      <c r="C30" s="31"/>
      <c r="D30" s="297"/>
      <c r="E30" s="252"/>
      <c r="F30" s="259" t="s">
        <v>22</v>
      </c>
      <c r="G30" s="263" t="s">
        <v>23</v>
      </c>
      <c r="H30" s="236"/>
      <c r="I30" s="236"/>
      <c r="J30" s="259" t="s">
        <v>22</v>
      </c>
      <c r="K30" s="263" t="s">
        <v>23</v>
      </c>
      <c r="L30" s="31"/>
    </row>
    <row r="31" spans="3:12" ht="20.399999999999999" x14ac:dyDescent="0.25">
      <c r="C31" s="31"/>
      <c r="D31" s="297"/>
      <c r="E31" s="252"/>
      <c r="F31" s="282"/>
      <c r="G31" s="241"/>
      <c r="H31" s="236"/>
      <c r="I31" s="236"/>
      <c r="J31" s="282"/>
      <c r="K31" s="241"/>
      <c r="L31" s="31"/>
    </row>
    <row r="32" spans="3:12" ht="21" thickBot="1" x14ac:dyDescent="0.3">
      <c r="C32" s="31"/>
      <c r="D32" s="297"/>
      <c r="E32" s="252"/>
      <c r="F32" s="244"/>
      <c r="G32" s="245"/>
      <c r="H32" s="236"/>
      <c r="I32" s="236"/>
      <c r="J32" s="242"/>
      <c r="K32" s="243"/>
      <c r="L32" s="31"/>
    </row>
    <row r="33" spans="3:12" ht="21" thickBot="1" x14ac:dyDescent="0.3">
      <c r="C33" s="31"/>
      <c r="D33" s="297"/>
      <c r="E33" s="261" t="s">
        <v>9</v>
      </c>
      <c r="F33" s="259" t="s">
        <v>19</v>
      </c>
      <c r="G33" s="262" t="s">
        <v>20</v>
      </c>
      <c r="H33" s="236"/>
      <c r="I33" s="236"/>
      <c r="J33" s="270" t="s">
        <v>19</v>
      </c>
      <c r="K33" s="271" t="s">
        <v>20</v>
      </c>
      <c r="L33" s="31"/>
    </row>
    <row r="34" spans="3:12" ht="20.399999999999999" x14ac:dyDescent="0.25">
      <c r="C34" s="31"/>
      <c r="D34" s="297"/>
      <c r="E34" s="284"/>
      <c r="F34" s="282"/>
      <c r="G34" s="283"/>
      <c r="H34" s="236"/>
      <c r="I34" s="236"/>
      <c r="J34" s="282"/>
      <c r="K34" s="290"/>
      <c r="L34" s="31"/>
    </row>
    <row r="35" spans="3:12" ht="39.6" x14ac:dyDescent="0.25">
      <c r="C35" s="31"/>
      <c r="D35" s="297"/>
      <c r="E35" s="252"/>
      <c r="F35" s="259" t="s">
        <v>22</v>
      </c>
      <c r="G35" s="263" t="s">
        <v>23</v>
      </c>
      <c r="H35" s="236"/>
      <c r="I35" s="236"/>
      <c r="J35" s="259" t="s">
        <v>22</v>
      </c>
      <c r="K35" s="263" t="s">
        <v>23</v>
      </c>
      <c r="L35" s="31"/>
    </row>
    <row r="36" spans="3:12" ht="20.399999999999999" x14ac:dyDescent="0.25">
      <c r="C36" s="31"/>
      <c r="D36" s="297"/>
      <c r="E36" s="252"/>
      <c r="F36" s="282"/>
      <c r="G36" s="241"/>
      <c r="H36" s="236"/>
      <c r="I36" s="236"/>
      <c r="J36" s="282"/>
      <c r="K36" s="241"/>
      <c r="L36" s="31"/>
    </row>
    <row r="37" spans="3:12" ht="20.399999999999999" thickBot="1" x14ac:dyDescent="0.3">
      <c r="C37" s="31"/>
      <c r="D37" s="297"/>
      <c r="E37" s="253"/>
      <c r="F37" s="242"/>
      <c r="G37" s="243"/>
      <c r="H37" s="212"/>
      <c r="I37" s="212"/>
      <c r="J37" s="246"/>
      <c r="K37" s="247"/>
      <c r="L37" s="31"/>
    </row>
    <row r="38" spans="3:12" ht="18" customHeight="1" thickBot="1" x14ac:dyDescent="0.3">
      <c r="C38" s="31"/>
      <c r="D38" s="297"/>
      <c r="E38" s="261" t="s">
        <v>9</v>
      </c>
      <c r="F38" s="259" t="s">
        <v>19</v>
      </c>
      <c r="G38" s="262" t="s">
        <v>20</v>
      </c>
      <c r="H38" s="236"/>
      <c r="I38" s="236"/>
      <c r="J38" s="270" t="s">
        <v>19</v>
      </c>
      <c r="K38" s="271" t="s">
        <v>20</v>
      </c>
      <c r="L38" s="31"/>
    </row>
    <row r="39" spans="3:12" ht="20.399999999999999" x14ac:dyDescent="0.25">
      <c r="C39" s="31"/>
      <c r="D39" s="297"/>
      <c r="E39" s="284"/>
      <c r="F39" s="282"/>
      <c r="G39" s="283"/>
      <c r="H39" s="217"/>
      <c r="I39" s="217"/>
      <c r="J39" s="282"/>
      <c r="K39" s="290"/>
      <c r="L39" s="31"/>
    </row>
    <row r="40" spans="3:12" ht="30.75" customHeight="1" x14ac:dyDescent="0.25">
      <c r="C40" s="31"/>
      <c r="D40" s="297"/>
      <c r="E40" s="252"/>
      <c r="F40" s="259" t="s">
        <v>22</v>
      </c>
      <c r="G40" s="263" t="s">
        <v>23</v>
      </c>
      <c r="H40" s="236"/>
      <c r="I40" s="236"/>
      <c r="J40" s="259" t="s">
        <v>22</v>
      </c>
      <c r="K40" s="263" t="s">
        <v>23</v>
      </c>
      <c r="L40" s="31"/>
    </row>
    <row r="41" spans="3:12" ht="18" customHeight="1" thickBot="1" x14ac:dyDescent="0.3">
      <c r="C41" s="31"/>
      <c r="D41" s="299"/>
      <c r="E41" s="254"/>
      <c r="F41" s="285"/>
      <c r="G41" s="248"/>
      <c r="H41" s="220"/>
      <c r="I41" s="220"/>
      <c r="J41" s="285"/>
      <c r="K41" s="248"/>
      <c r="L41" s="31"/>
    </row>
    <row r="42" spans="3:12" ht="21" thickBot="1" x14ac:dyDescent="0.3">
      <c r="C42" s="31"/>
      <c r="D42" s="250"/>
      <c r="E42" s="251"/>
      <c r="F42" s="236"/>
      <c r="G42" s="236"/>
      <c r="H42" s="236"/>
      <c r="I42" s="236"/>
      <c r="J42" s="212"/>
      <c r="K42" s="212"/>
      <c r="L42" s="31"/>
    </row>
    <row r="43" spans="3:12" ht="30" customHeight="1" x14ac:dyDescent="0.25">
      <c r="C43" s="31"/>
      <c r="D43" s="295" t="s">
        <v>24</v>
      </c>
      <c r="E43" s="306"/>
      <c r="F43" s="258" t="s">
        <v>25</v>
      </c>
      <c r="G43" s="258" t="s">
        <v>26</v>
      </c>
      <c r="H43" s="237"/>
      <c r="I43" s="237"/>
      <c r="J43" s="258" t="s">
        <v>25</v>
      </c>
      <c r="K43" s="266" t="s">
        <v>26</v>
      </c>
      <c r="L43" s="31"/>
    </row>
    <row r="44" spans="3:12" ht="19.95" customHeight="1" x14ac:dyDescent="0.25">
      <c r="C44" s="31"/>
      <c r="D44" s="297"/>
      <c r="E44" s="307"/>
      <c r="F44" s="282" t="s">
        <v>27</v>
      </c>
      <c r="G44" s="282">
        <v>0</v>
      </c>
      <c r="H44" s="212"/>
      <c r="I44" s="212"/>
      <c r="J44" s="282" t="s">
        <v>27</v>
      </c>
      <c r="K44" s="289">
        <v>0</v>
      </c>
      <c r="L44" s="31"/>
    </row>
    <row r="45" spans="3:12" ht="40.799999999999997" x14ac:dyDescent="0.25">
      <c r="C45" s="31"/>
      <c r="D45" s="297"/>
      <c r="E45" s="307"/>
      <c r="F45" s="259" t="s">
        <v>28</v>
      </c>
      <c r="G45" s="212"/>
      <c r="H45" s="212"/>
      <c r="I45" s="212"/>
      <c r="J45" s="259" t="s">
        <v>28</v>
      </c>
      <c r="K45" s="243"/>
      <c r="L45" s="31"/>
    </row>
    <row r="46" spans="3:12" ht="19.95" customHeight="1" x14ac:dyDescent="0.25">
      <c r="C46" s="31"/>
      <c r="D46" s="297"/>
      <c r="E46" s="307"/>
      <c r="F46" s="282">
        <v>0</v>
      </c>
      <c r="G46" s="212"/>
      <c r="H46" s="212"/>
      <c r="I46" s="212"/>
      <c r="J46" s="282">
        <v>0</v>
      </c>
      <c r="K46" s="243"/>
      <c r="L46" s="31"/>
    </row>
    <row r="47" spans="3:12" ht="20.399999999999999" customHeight="1" x14ac:dyDescent="0.25">
      <c r="C47" s="31"/>
      <c r="D47" s="297"/>
      <c r="E47" s="307"/>
      <c r="F47" s="259" t="s">
        <v>29</v>
      </c>
      <c r="G47" s="259" t="s">
        <v>30</v>
      </c>
      <c r="H47" s="212"/>
      <c r="I47" s="212"/>
      <c r="J47" s="259" t="s">
        <v>29</v>
      </c>
      <c r="K47" s="272" t="s">
        <v>30</v>
      </c>
      <c r="L47" s="31"/>
    </row>
    <row r="48" spans="3:12" ht="19.95" customHeight="1" x14ac:dyDescent="0.25">
      <c r="C48" s="31"/>
      <c r="D48" s="297"/>
      <c r="E48" s="307"/>
      <c r="F48" s="282" t="s">
        <v>31</v>
      </c>
      <c r="G48" s="282">
        <v>0</v>
      </c>
      <c r="H48" s="212"/>
      <c r="I48" s="212"/>
      <c r="J48" s="282" t="s">
        <v>31</v>
      </c>
      <c r="K48" s="289">
        <v>0</v>
      </c>
      <c r="L48" s="31"/>
    </row>
    <row r="49" spans="3:12" ht="40.799999999999997" x14ac:dyDescent="0.25">
      <c r="C49" s="31"/>
      <c r="D49" s="297"/>
      <c r="E49" s="307"/>
      <c r="F49" s="259" t="s">
        <v>32</v>
      </c>
      <c r="G49" s="212"/>
      <c r="H49" s="212"/>
      <c r="I49" s="212"/>
      <c r="J49" s="259" t="s">
        <v>32</v>
      </c>
      <c r="K49" s="243"/>
      <c r="L49" s="31"/>
    </row>
    <row r="50" spans="3:12" ht="19.95" customHeight="1" x14ac:dyDescent="0.25">
      <c r="C50" s="31"/>
      <c r="D50" s="297"/>
      <c r="E50" s="307"/>
      <c r="F50" s="282">
        <v>0</v>
      </c>
      <c r="G50" s="212"/>
      <c r="H50" s="212"/>
      <c r="I50" s="212"/>
      <c r="J50" s="282">
        <v>1.2</v>
      </c>
      <c r="K50" s="243"/>
      <c r="L50" s="31"/>
    </row>
    <row r="51" spans="3:12" ht="20.399999999999999" customHeight="1" x14ac:dyDescent="0.25">
      <c r="C51" s="31"/>
      <c r="D51" s="297"/>
      <c r="E51" s="307"/>
      <c r="F51" s="259" t="s">
        <v>33</v>
      </c>
      <c r="G51" s="259" t="s">
        <v>34</v>
      </c>
      <c r="H51" s="212"/>
      <c r="I51" s="212"/>
      <c r="J51" s="259" t="s">
        <v>33</v>
      </c>
      <c r="K51" s="272" t="s">
        <v>34</v>
      </c>
      <c r="L51" s="31"/>
    </row>
    <row r="52" spans="3:12" ht="19.95" customHeight="1" x14ac:dyDescent="0.25">
      <c r="C52" s="31"/>
      <c r="D52" s="297"/>
      <c r="E52" s="307"/>
      <c r="F52" s="282"/>
      <c r="G52" s="282"/>
      <c r="H52" s="212"/>
      <c r="I52" s="212"/>
      <c r="J52" s="282"/>
      <c r="K52" s="289"/>
      <c r="L52" s="31"/>
    </row>
    <row r="53" spans="3:12" ht="40.799999999999997" x14ac:dyDescent="0.25">
      <c r="C53" s="31"/>
      <c r="D53" s="297"/>
      <c r="E53" s="307"/>
      <c r="F53" s="259" t="s">
        <v>35</v>
      </c>
      <c r="G53" s="212"/>
      <c r="H53" s="212"/>
      <c r="I53" s="212"/>
      <c r="J53" s="259" t="s">
        <v>35</v>
      </c>
      <c r="K53" s="243"/>
      <c r="L53" s="31"/>
    </row>
    <row r="54" spans="3:12" ht="20.399999999999999" customHeight="1" thickBot="1" x14ac:dyDescent="0.3">
      <c r="C54" s="31"/>
      <c r="D54" s="299"/>
      <c r="E54" s="308"/>
      <c r="F54" s="286"/>
      <c r="G54" s="212"/>
      <c r="H54" s="212"/>
      <c r="I54" s="212"/>
      <c r="J54" s="286"/>
      <c r="K54" s="243"/>
      <c r="L54" s="31"/>
    </row>
    <row r="55" spans="3:12" ht="25.5" customHeight="1" x14ac:dyDescent="0.25">
      <c r="C55" s="31"/>
      <c r="D55" s="295" t="s">
        <v>36</v>
      </c>
      <c r="E55" s="303"/>
      <c r="F55" s="258" t="s">
        <v>37</v>
      </c>
      <c r="G55" s="287">
        <v>0</v>
      </c>
      <c r="H55" s="237"/>
      <c r="I55" s="237"/>
      <c r="J55" s="258" t="s">
        <v>37</v>
      </c>
      <c r="K55" s="287">
        <v>0</v>
      </c>
      <c r="L55" s="31"/>
    </row>
    <row r="56" spans="3:12" ht="40.799999999999997" x14ac:dyDescent="0.25">
      <c r="C56" s="31"/>
      <c r="D56" s="297"/>
      <c r="E56" s="304"/>
      <c r="F56" s="259" t="s">
        <v>38</v>
      </c>
      <c r="G56" s="283">
        <v>0</v>
      </c>
      <c r="H56" s="212"/>
      <c r="I56" s="212"/>
      <c r="J56" s="259" t="s">
        <v>38</v>
      </c>
      <c r="K56" s="283">
        <v>0</v>
      </c>
      <c r="L56" s="31"/>
    </row>
    <row r="57" spans="3:12" ht="40.799999999999997" x14ac:dyDescent="0.25">
      <c r="C57" s="31"/>
      <c r="D57" s="297"/>
      <c r="E57" s="304"/>
      <c r="F57" s="259" t="s">
        <v>39</v>
      </c>
      <c r="G57" s="283">
        <v>0</v>
      </c>
      <c r="H57" s="212"/>
      <c r="I57" s="212"/>
      <c r="J57" s="259" t="s">
        <v>39</v>
      </c>
      <c r="K57" s="283">
        <v>0</v>
      </c>
      <c r="L57" s="31"/>
    </row>
    <row r="58" spans="3:12" ht="20.399999999999999" x14ac:dyDescent="0.25">
      <c r="C58" s="31"/>
      <c r="D58" s="297"/>
      <c r="E58" s="304"/>
      <c r="F58" s="301" t="s">
        <v>40</v>
      </c>
      <c r="G58" s="302"/>
      <c r="H58" s="212"/>
      <c r="I58" s="212"/>
      <c r="J58" s="301" t="s">
        <v>40</v>
      </c>
      <c r="K58" s="302"/>
      <c r="L58" s="31"/>
    </row>
    <row r="59" spans="3:12" ht="20.399999999999999" x14ac:dyDescent="0.25">
      <c r="C59" s="31"/>
      <c r="D59" s="297"/>
      <c r="E59" s="304"/>
      <c r="F59" s="259" t="s">
        <v>41</v>
      </c>
      <c r="G59" s="283">
        <v>0</v>
      </c>
      <c r="H59" s="212"/>
      <c r="I59" s="212"/>
      <c r="J59" s="259" t="s">
        <v>41</v>
      </c>
      <c r="K59" s="283">
        <v>0</v>
      </c>
      <c r="L59" s="31"/>
    </row>
    <row r="60" spans="3:12" ht="20.399999999999999" x14ac:dyDescent="0.25">
      <c r="C60" s="31"/>
      <c r="D60" s="297"/>
      <c r="E60" s="304"/>
      <c r="F60" s="259" t="s">
        <v>42</v>
      </c>
      <c r="G60" s="283">
        <v>0</v>
      </c>
      <c r="H60" s="212"/>
      <c r="I60" s="212"/>
      <c r="J60" s="259" t="s">
        <v>42</v>
      </c>
      <c r="K60" s="283">
        <v>0</v>
      </c>
      <c r="L60" s="31"/>
    </row>
    <row r="61" spans="3:12" ht="20.399999999999999" x14ac:dyDescent="0.25">
      <c r="C61" s="31"/>
      <c r="D61" s="297"/>
      <c r="E61" s="304"/>
      <c r="F61" s="259" t="s">
        <v>43</v>
      </c>
      <c r="G61" s="283">
        <v>0</v>
      </c>
      <c r="H61" s="212"/>
      <c r="I61" s="212"/>
      <c r="J61" s="259" t="s">
        <v>43</v>
      </c>
      <c r="K61" s="283">
        <v>0</v>
      </c>
      <c r="L61" s="31"/>
    </row>
    <row r="62" spans="3:12" ht="21" thickBot="1" x14ac:dyDescent="0.3">
      <c r="C62" s="31"/>
      <c r="D62" s="299"/>
      <c r="E62" s="305"/>
      <c r="F62" s="260" t="s">
        <v>44</v>
      </c>
      <c r="G62" s="280">
        <v>0</v>
      </c>
      <c r="H62" s="239"/>
      <c r="I62" s="239"/>
      <c r="J62" s="260" t="s">
        <v>44</v>
      </c>
      <c r="K62" s="280">
        <v>0</v>
      </c>
      <c r="L62" s="31"/>
    </row>
    <row r="63" spans="3:12" ht="20.399999999999999" thickBot="1" x14ac:dyDescent="0.3">
      <c r="C63" s="31"/>
      <c r="D63" s="250"/>
      <c r="E63" s="251"/>
      <c r="F63" s="212"/>
      <c r="G63" s="212"/>
      <c r="H63" s="212"/>
      <c r="I63" s="212"/>
      <c r="J63" s="212"/>
      <c r="K63" s="212"/>
      <c r="L63" s="31"/>
    </row>
    <row r="64" spans="3:12" ht="20.399999999999999" x14ac:dyDescent="0.25">
      <c r="C64" s="31"/>
      <c r="D64" s="295" t="s">
        <v>45</v>
      </c>
      <c r="E64" s="296"/>
      <c r="F64" s="267" t="s">
        <v>46</v>
      </c>
      <c r="G64" s="273" t="s">
        <v>47</v>
      </c>
      <c r="H64" s="237"/>
      <c r="I64" s="237"/>
      <c r="J64" s="273" t="s">
        <v>47</v>
      </c>
      <c r="K64" s="238"/>
      <c r="L64" s="31"/>
    </row>
    <row r="65" spans="3:12" x14ac:dyDescent="0.25">
      <c r="C65" s="31"/>
      <c r="D65" s="297"/>
      <c r="E65" s="298"/>
      <c r="F65" s="288" t="s">
        <v>48</v>
      </c>
      <c r="G65" s="283">
        <v>0</v>
      </c>
      <c r="H65" s="212"/>
      <c r="I65" s="212"/>
      <c r="J65" s="283">
        <v>0</v>
      </c>
      <c r="K65" s="243"/>
      <c r="L65" s="31"/>
    </row>
    <row r="66" spans="3:12" ht="20.399999999999999" x14ac:dyDescent="0.25">
      <c r="C66" s="31"/>
      <c r="D66" s="297"/>
      <c r="E66" s="298"/>
      <c r="F66" s="275" t="s">
        <v>49</v>
      </c>
      <c r="G66" s="274" t="s">
        <v>50</v>
      </c>
      <c r="H66" s="212"/>
      <c r="I66" s="212"/>
      <c r="J66" s="274" t="s">
        <v>50</v>
      </c>
      <c r="K66" s="243"/>
      <c r="L66" s="31"/>
    </row>
    <row r="67" spans="3:12" x14ac:dyDescent="0.25">
      <c r="C67" s="31"/>
      <c r="D67" s="297"/>
      <c r="E67" s="298"/>
      <c r="F67" s="288" t="s">
        <v>51</v>
      </c>
      <c r="G67" s="283">
        <v>0</v>
      </c>
      <c r="H67" s="212"/>
      <c r="I67" s="212"/>
      <c r="J67" s="283">
        <v>0</v>
      </c>
      <c r="K67" s="243"/>
      <c r="L67" s="31"/>
    </row>
    <row r="68" spans="3:12" ht="20.399999999999999" x14ac:dyDescent="0.25">
      <c r="C68" s="31"/>
      <c r="D68" s="297"/>
      <c r="E68" s="298"/>
      <c r="F68" s="275" t="s">
        <v>52</v>
      </c>
      <c r="G68" s="274" t="s">
        <v>53</v>
      </c>
      <c r="H68" s="212"/>
      <c r="I68" s="212"/>
      <c r="J68" s="274" t="s">
        <v>53</v>
      </c>
      <c r="K68" s="243"/>
      <c r="L68" s="31"/>
    </row>
    <row r="69" spans="3:12" x14ac:dyDescent="0.25">
      <c r="C69" s="31"/>
      <c r="D69" s="297"/>
      <c r="E69" s="298"/>
      <c r="F69" s="288" t="s">
        <v>54</v>
      </c>
      <c r="G69" s="283">
        <v>0</v>
      </c>
      <c r="H69" s="212"/>
      <c r="I69" s="212"/>
      <c r="J69" s="283">
        <v>0</v>
      </c>
      <c r="K69" s="243"/>
      <c r="L69" s="31"/>
    </row>
    <row r="70" spans="3:12" ht="20.399999999999999" x14ac:dyDescent="0.25">
      <c r="C70" s="31"/>
      <c r="D70" s="297"/>
      <c r="E70" s="298"/>
      <c r="F70" s="275" t="s">
        <v>55</v>
      </c>
      <c r="G70" s="274" t="s">
        <v>56</v>
      </c>
      <c r="H70" s="212"/>
      <c r="I70" s="212"/>
      <c r="J70" s="274" t="s">
        <v>56</v>
      </c>
      <c r="K70" s="243"/>
      <c r="L70" s="31"/>
    </row>
    <row r="71" spans="3:12" ht="20.399999999999999" thickBot="1" x14ac:dyDescent="0.3">
      <c r="C71" s="31"/>
      <c r="D71" s="299"/>
      <c r="E71" s="300"/>
      <c r="F71" s="279" t="s">
        <v>57</v>
      </c>
      <c r="G71" s="280">
        <v>0</v>
      </c>
      <c r="H71" s="239"/>
      <c r="I71" s="239"/>
      <c r="J71" s="280">
        <v>0</v>
      </c>
      <c r="K71" s="240"/>
      <c r="L71" s="31"/>
    </row>
    <row r="72" spans="3:12" s="31" customFormat="1" x14ac:dyDescent="0.25">
      <c r="D72" s="212"/>
    </row>
    <row r="73" spans="3:12" s="31" customFormat="1" x14ac:dyDescent="0.25">
      <c r="D73" s="212"/>
    </row>
    <row r="74" spans="3:12" s="31" customFormat="1" x14ac:dyDescent="0.25">
      <c r="D74" s="212"/>
    </row>
    <row r="75" spans="3:12" s="31" customFormat="1" x14ac:dyDescent="0.25">
      <c r="D75" s="212"/>
    </row>
    <row r="76" spans="3:12" s="31" customFormat="1" x14ac:dyDescent="0.25">
      <c r="D76" s="212"/>
    </row>
    <row r="77" spans="3:12" s="31" customFormat="1" x14ac:dyDescent="0.25">
      <c r="D77" s="212"/>
    </row>
    <row r="78" spans="3:12" s="31" customFormat="1" x14ac:dyDescent="0.25">
      <c r="D78" s="212"/>
    </row>
    <row r="79" spans="3:12" s="31" customFormat="1" x14ac:dyDescent="0.25">
      <c r="D79" s="212"/>
    </row>
    <row r="80" spans="3:12" s="31" customFormat="1" x14ac:dyDescent="0.25">
      <c r="D80" s="212"/>
    </row>
    <row r="81" spans="4:4" s="31" customFormat="1" x14ac:dyDescent="0.25">
      <c r="D81" s="212"/>
    </row>
    <row r="82" spans="4:4" s="31" customFormat="1" x14ac:dyDescent="0.25">
      <c r="D82" s="212"/>
    </row>
    <row r="83" spans="4:4" s="31" customFormat="1" x14ac:dyDescent="0.25">
      <c r="D83" s="212"/>
    </row>
    <row r="84" spans="4:4" s="31" customFormat="1" x14ac:dyDescent="0.25">
      <c r="D84" s="212"/>
    </row>
    <row r="85" spans="4:4" s="31" customFormat="1" x14ac:dyDescent="0.25">
      <c r="D85" s="212"/>
    </row>
    <row r="86" spans="4:4" s="31" customFormat="1" x14ac:dyDescent="0.25">
      <c r="D86" s="212"/>
    </row>
    <row r="87" spans="4:4" s="31" customFormat="1" x14ac:dyDescent="0.25">
      <c r="D87" s="212"/>
    </row>
    <row r="88" spans="4:4" s="31" customFormat="1" x14ac:dyDescent="0.25">
      <c r="D88" s="212"/>
    </row>
    <row r="89" spans="4:4" s="31" customFormat="1" x14ac:dyDescent="0.25">
      <c r="D89" s="212"/>
    </row>
    <row r="90" spans="4:4" s="31" customFormat="1" x14ac:dyDescent="0.25">
      <c r="D90" s="212"/>
    </row>
    <row r="91" spans="4:4" s="31" customFormat="1" x14ac:dyDescent="0.25">
      <c r="D91" s="212"/>
    </row>
    <row r="92" spans="4:4" s="31" customFormat="1" x14ac:dyDescent="0.25">
      <c r="D92" s="212"/>
    </row>
    <row r="93" spans="4:4" s="31" customFormat="1" x14ac:dyDescent="0.25">
      <c r="D93" s="212"/>
    </row>
    <row r="94" spans="4:4" s="31" customFormat="1" x14ac:dyDescent="0.25">
      <c r="D94" s="212"/>
    </row>
    <row r="95" spans="4:4" s="31" customFormat="1" x14ac:dyDescent="0.25">
      <c r="D95" s="212"/>
    </row>
    <row r="96" spans="4:4" s="31" customFormat="1" x14ac:dyDescent="0.25">
      <c r="D96" s="212"/>
    </row>
    <row r="97" spans="4:4" s="31" customFormat="1" x14ac:dyDescent="0.25">
      <c r="D97" s="212"/>
    </row>
    <row r="98" spans="4:4" s="31" customFormat="1" x14ac:dyDescent="0.25">
      <c r="D98" s="212"/>
    </row>
    <row r="99" spans="4:4" s="31" customFormat="1" x14ac:dyDescent="0.25">
      <c r="D99" s="212"/>
    </row>
    <row r="100" spans="4:4" s="31" customFormat="1" x14ac:dyDescent="0.25">
      <c r="D100" s="212"/>
    </row>
    <row r="101" spans="4:4" s="31" customFormat="1" x14ac:dyDescent="0.25">
      <c r="D101" s="212"/>
    </row>
    <row r="102" spans="4:4" s="31" customFormat="1" x14ac:dyDescent="0.25">
      <c r="D102" s="212"/>
    </row>
    <row r="103" spans="4:4" s="31" customFormat="1" x14ac:dyDescent="0.25">
      <c r="D103" s="212"/>
    </row>
    <row r="104" spans="4:4" s="31" customFormat="1" x14ac:dyDescent="0.25">
      <c r="D104" s="212"/>
    </row>
    <row r="105" spans="4:4" s="31" customFormat="1" x14ac:dyDescent="0.25">
      <c r="D105" s="212"/>
    </row>
    <row r="106" spans="4:4" s="31" customFormat="1" x14ac:dyDescent="0.25">
      <c r="D106" s="212"/>
    </row>
    <row r="107" spans="4:4" s="31" customFormat="1" x14ac:dyDescent="0.25">
      <c r="D107" s="212"/>
    </row>
    <row r="108" spans="4:4" s="31" customFormat="1" x14ac:dyDescent="0.25">
      <c r="D108" s="212"/>
    </row>
    <row r="109" spans="4:4" s="31" customFormat="1" x14ac:dyDescent="0.25">
      <c r="D109" s="212"/>
    </row>
    <row r="110" spans="4:4" s="31" customFormat="1" x14ac:dyDescent="0.25">
      <c r="D110" s="212"/>
    </row>
    <row r="111" spans="4:4" s="31" customFormat="1" x14ac:dyDescent="0.25">
      <c r="D111" s="212"/>
    </row>
    <row r="112" spans="4:4" s="31" customFormat="1" x14ac:dyDescent="0.25">
      <c r="D112" s="212"/>
    </row>
    <row r="113" spans="4:4" s="31" customFormat="1" x14ac:dyDescent="0.25">
      <c r="D113" s="212"/>
    </row>
    <row r="114" spans="4:4" s="31" customFormat="1" x14ac:dyDescent="0.25">
      <c r="D114" s="212"/>
    </row>
    <row r="115" spans="4:4" s="31" customFormat="1" x14ac:dyDescent="0.25">
      <c r="D115" s="212"/>
    </row>
    <row r="116" spans="4:4" s="31" customFormat="1" x14ac:dyDescent="0.25">
      <c r="D116" s="212"/>
    </row>
    <row r="117" spans="4:4" s="31" customFormat="1" x14ac:dyDescent="0.25">
      <c r="D117" s="212"/>
    </row>
    <row r="118" spans="4:4" s="31" customFormat="1" x14ac:dyDescent="0.25">
      <c r="D118" s="212"/>
    </row>
    <row r="119" spans="4:4" s="31" customFormat="1" x14ac:dyDescent="0.25">
      <c r="D119" s="212"/>
    </row>
    <row r="120" spans="4:4" s="31" customFormat="1" x14ac:dyDescent="0.25">
      <c r="D120" s="212"/>
    </row>
    <row r="121" spans="4:4" s="31" customFormat="1" x14ac:dyDescent="0.25">
      <c r="D121" s="212"/>
    </row>
    <row r="122" spans="4:4" s="31" customFormat="1" x14ac:dyDescent="0.25">
      <c r="D122" s="212"/>
    </row>
    <row r="123" spans="4:4" s="31" customFormat="1" x14ac:dyDescent="0.25">
      <c r="D123" s="212"/>
    </row>
    <row r="124" spans="4:4" s="31" customFormat="1" x14ac:dyDescent="0.25">
      <c r="D124" s="212"/>
    </row>
    <row r="125" spans="4:4" s="31" customFormat="1" x14ac:dyDescent="0.25">
      <c r="D125" s="212"/>
    </row>
    <row r="126" spans="4:4" s="31" customFormat="1" x14ac:dyDescent="0.25">
      <c r="D126" s="212"/>
    </row>
    <row r="127" spans="4:4" s="31" customFormat="1" x14ac:dyDescent="0.25">
      <c r="D127" s="212"/>
    </row>
    <row r="128" spans="4:4" s="31" customFormat="1" x14ac:dyDescent="0.25">
      <c r="D128" s="212"/>
    </row>
    <row r="129" spans="4:4" s="31" customFormat="1" x14ac:dyDescent="0.25">
      <c r="D129" s="212"/>
    </row>
    <row r="130" spans="4:4" s="31" customFormat="1" x14ac:dyDescent="0.25">
      <c r="D130" s="212"/>
    </row>
    <row r="131" spans="4:4" s="31" customFormat="1" x14ac:dyDescent="0.25">
      <c r="D131" s="212"/>
    </row>
    <row r="132" spans="4:4" s="31" customFormat="1" x14ac:dyDescent="0.25">
      <c r="D132" s="212"/>
    </row>
    <row r="133" spans="4:4" s="31" customFormat="1" x14ac:dyDescent="0.25">
      <c r="D133" s="212"/>
    </row>
    <row r="134" spans="4:4" s="31" customFormat="1" x14ac:dyDescent="0.25">
      <c r="D134" s="212"/>
    </row>
    <row r="135" spans="4:4" s="31" customFormat="1" x14ac:dyDescent="0.25">
      <c r="D135" s="212"/>
    </row>
    <row r="136" spans="4:4" s="31" customFormat="1" x14ac:dyDescent="0.25">
      <c r="D136" s="212"/>
    </row>
    <row r="137" spans="4:4" s="31" customFormat="1" x14ac:dyDescent="0.25">
      <c r="D137" s="212"/>
    </row>
    <row r="138" spans="4:4" s="31" customFormat="1" x14ac:dyDescent="0.25">
      <c r="D138" s="212"/>
    </row>
    <row r="139" spans="4:4" s="31" customFormat="1" x14ac:dyDescent="0.25">
      <c r="D139" s="212"/>
    </row>
    <row r="140" spans="4:4" s="31" customFormat="1" x14ac:dyDescent="0.25">
      <c r="D140" s="212"/>
    </row>
    <row r="141" spans="4:4" s="31" customFormat="1" x14ac:dyDescent="0.25">
      <c r="D141" s="212"/>
    </row>
    <row r="142" spans="4:4" s="31" customFormat="1" x14ac:dyDescent="0.25">
      <c r="D142" s="212"/>
    </row>
    <row r="143" spans="4:4" s="31" customFormat="1" x14ac:dyDescent="0.25">
      <c r="D143" s="212"/>
    </row>
    <row r="144" spans="4:4" s="31" customFormat="1" x14ac:dyDescent="0.25">
      <c r="D144" s="212"/>
    </row>
    <row r="145" spans="4:4" s="31" customFormat="1" x14ac:dyDescent="0.25">
      <c r="D145" s="212"/>
    </row>
    <row r="146" spans="4:4" s="31" customFormat="1" x14ac:dyDescent="0.25">
      <c r="D146" s="212"/>
    </row>
    <row r="147" spans="4:4" s="31" customFormat="1" x14ac:dyDescent="0.25">
      <c r="D147" s="212"/>
    </row>
    <row r="148" spans="4:4" s="31" customFormat="1" x14ac:dyDescent="0.25">
      <c r="D148" s="212"/>
    </row>
    <row r="149" spans="4:4" s="31" customFormat="1" x14ac:dyDescent="0.25">
      <c r="D149" s="212"/>
    </row>
    <row r="150" spans="4:4" s="31" customFormat="1" x14ac:dyDescent="0.25">
      <c r="D150" s="212"/>
    </row>
    <row r="151" spans="4:4" s="31" customFormat="1" x14ac:dyDescent="0.25">
      <c r="D151" s="212"/>
    </row>
    <row r="152" spans="4:4" s="31" customFormat="1" x14ac:dyDescent="0.25">
      <c r="D152" s="212"/>
    </row>
    <row r="153" spans="4:4" s="31" customFormat="1" x14ac:dyDescent="0.25">
      <c r="D153" s="212"/>
    </row>
    <row r="154" spans="4:4" s="31" customFormat="1" x14ac:dyDescent="0.25">
      <c r="D154" s="212"/>
    </row>
    <row r="155" spans="4:4" s="31" customFormat="1" x14ac:dyDescent="0.25">
      <c r="D155" s="212"/>
    </row>
    <row r="156" spans="4:4" s="31" customFormat="1" x14ac:dyDescent="0.25">
      <c r="D156" s="212"/>
    </row>
    <row r="157" spans="4:4" s="31" customFormat="1" x14ac:dyDescent="0.25">
      <c r="D157" s="212"/>
    </row>
    <row r="158" spans="4:4" s="31" customFormat="1" x14ac:dyDescent="0.25">
      <c r="D158" s="212"/>
    </row>
    <row r="159" spans="4:4" s="31" customFormat="1" x14ac:dyDescent="0.25">
      <c r="D159" s="212"/>
    </row>
    <row r="160" spans="4:4" s="31" customFormat="1" x14ac:dyDescent="0.25">
      <c r="D160" s="212"/>
    </row>
    <row r="161" spans="4:4" s="31" customFormat="1" x14ac:dyDescent="0.25">
      <c r="D161" s="212"/>
    </row>
    <row r="162" spans="4:4" s="31" customFormat="1" x14ac:dyDescent="0.25">
      <c r="D162" s="212"/>
    </row>
    <row r="163" spans="4:4" s="31" customFormat="1" x14ac:dyDescent="0.25">
      <c r="D163" s="212"/>
    </row>
    <row r="164" spans="4:4" s="31" customFormat="1" x14ac:dyDescent="0.25">
      <c r="D164" s="212"/>
    </row>
    <row r="165" spans="4:4" s="31" customFormat="1" x14ac:dyDescent="0.25">
      <c r="D165" s="212"/>
    </row>
    <row r="166" spans="4:4" s="31" customFormat="1" x14ac:dyDescent="0.25">
      <c r="D166" s="212"/>
    </row>
    <row r="167" spans="4:4" s="31" customFormat="1" x14ac:dyDescent="0.25">
      <c r="D167" s="212"/>
    </row>
    <row r="168" spans="4:4" s="31" customFormat="1" x14ac:dyDescent="0.25">
      <c r="D168" s="212"/>
    </row>
    <row r="169" spans="4:4" s="31" customFormat="1" x14ac:dyDescent="0.25">
      <c r="D169" s="212"/>
    </row>
    <row r="170" spans="4:4" s="31" customFormat="1" x14ac:dyDescent="0.25">
      <c r="D170" s="212"/>
    </row>
    <row r="171" spans="4:4" s="31" customFormat="1" x14ac:dyDescent="0.25">
      <c r="D171" s="212"/>
    </row>
    <row r="172" spans="4:4" s="31" customFormat="1" x14ac:dyDescent="0.25">
      <c r="D172" s="212"/>
    </row>
    <row r="173" spans="4:4" s="31" customFormat="1" x14ac:dyDescent="0.25">
      <c r="D173" s="212"/>
    </row>
    <row r="174" spans="4:4" s="31" customFormat="1" x14ac:dyDescent="0.25">
      <c r="D174" s="212"/>
    </row>
    <row r="175" spans="4:4" s="31" customFormat="1" x14ac:dyDescent="0.25">
      <c r="D175" s="212"/>
    </row>
    <row r="176" spans="4:4" s="31" customFormat="1" x14ac:dyDescent="0.25">
      <c r="D176" s="212"/>
    </row>
    <row r="177" spans="4:4" s="31" customFormat="1" x14ac:dyDescent="0.25">
      <c r="D177" s="212"/>
    </row>
    <row r="178" spans="4:4" s="31" customFormat="1" x14ac:dyDescent="0.25">
      <c r="D178" s="212"/>
    </row>
    <row r="179" spans="4:4" s="31" customFormat="1" x14ac:dyDescent="0.25">
      <c r="D179" s="212"/>
    </row>
    <row r="180" spans="4:4" s="31" customFormat="1" x14ac:dyDescent="0.25">
      <c r="D180" s="212"/>
    </row>
    <row r="181" spans="4:4" s="31" customFormat="1" x14ac:dyDescent="0.25">
      <c r="D181" s="212"/>
    </row>
    <row r="182" spans="4:4" s="31" customFormat="1" x14ac:dyDescent="0.25">
      <c r="D182" s="212"/>
    </row>
    <row r="183" spans="4:4" s="31" customFormat="1" x14ac:dyDescent="0.25">
      <c r="D183" s="212"/>
    </row>
    <row r="184" spans="4:4" s="31" customFormat="1" x14ac:dyDescent="0.25">
      <c r="D184" s="212"/>
    </row>
    <row r="185" spans="4:4" s="31" customFormat="1" x14ac:dyDescent="0.25">
      <c r="D185" s="212"/>
    </row>
    <row r="186" spans="4:4" s="31" customFormat="1" x14ac:dyDescent="0.25">
      <c r="D186" s="212"/>
    </row>
    <row r="187" spans="4:4" s="31" customFormat="1" x14ac:dyDescent="0.25">
      <c r="D187" s="212"/>
    </row>
    <row r="188" spans="4:4" s="31" customFormat="1" x14ac:dyDescent="0.25">
      <c r="D188" s="212"/>
    </row>
    <row r="189" spans="4:4" s="31" customFormat="1" x14ac:dyDescent="0.25">
      <c r="D189" s="212"/>
    </row>
    <row r="190" spans="4:4" s="31" customFormat="1" x14ac:dyDescent="0.25">
      <c r="D190" s="212"/>
    </row>
    <row r="191" spans="4:4" s="31" customFormat="1" x14ac:dyDescent="0.25">
      <c r="D191" s="212"/>
    </row>
    <row r="192" spans="4:4" s="31" customFormat="1" x14ac:dyDescent="0.25">
      <c r="D192" s="212"/>
    </row>
    <row r="193" spans="4:4" s="31" customFormat="1" x14ac:dyDescent="0.25">
      <c r="D193" s="212"/>
    </row>
    <row r="194" spans="4:4" s="31" customFormat="1" x14ac:dyDescent="0.25">
      <c r="D194" s="212"/>
    </row>
    <row r="195" spans="4:4" s="31" customFormat="1" x14ac:dyDescent="0.25">
      <c r="D195" s="212"/>
    </row>
    <row r="196" spans="4:4" s="31" customFormat="1" x14ac:dyDescent="0.25">
      <c r="D196" s="212"/>
    </row>
    <row r="197" spans="4:4" s="31" customFormat="1" x14ac:dyDescent="0.25">
      <c r="D197" s="212"/>
    </row>
    <row r="198" spans="4:4" s="31" customFormat="1" x14ac:dyDescent="0.25">
      <c r="D198" s="212"/>
    </row>
    <row r="199" spans="4:4" s="31" customFormat="1" x14ac:dyDescent="0.25">
      <c r="D199" s="212"/>
    </row>
    <row r="200" spans="4:4" s="31" customFormat="1" x14ac:dyDescent="0.25">
      <c r="D200" s="212"/>
    </row>
  </sheetData>
  <sheetProtection algorithmName="SHA-512" hashValue="fhRi98UC2L89sKtq76YfYP2RWZ0VkT0J+mOJ94ZxgIZylXYDalM0o8sK5JwsQekYQhVwDWQccpM0awglAkdx9w==" saltValue="qdhdMV5zMe1WWejlMMZ5Pw==" spinCount="100000" sheet="1" objects="1" scenarios="1"/>
  <mergeCells count="11">
    <mergeCell ref="I5:K5"/>
    <mergeCell ref="D64:E71"/>
    <mergeCell ref="F58:G58"/>
    <mergeCell ref="J58:K58"/>
    <mergeCell ref="D55:E62"/>
    <mergeCell ref="D43:E54"/>
    <mergeCell ref="D18:D41"/>
    <mergeCell ref="D9:D10"/>
    <mergeCell ref="D12:D13"/>
    <mergeCell ref="D15:D16"/>
    <mergeCell ref="E5:G5"/>
  </mergeCells>
  <hyperlinks>
    <hyperlink ref="G20" r:id="rId1" display="Methane Emission Factor" xr:uid="{00000000-0004-0000-0100-000000000000}"/>
    <hyperlink ref="K20" r:id="rId2" display="Methane Emission Factor" xr:uid="{00000000-0004-0000-0100-000001000000}"/>
    <hyperlink ref="G25" r:id="rId3" display="Methane Emission Factor" xr:uid="{00000000-0004-0000-0100-000002000000}"/>
    <hyperlink ref="K25" r:id="rId4" display="Methane Emission Factor" xr:uid="{00000000-0004-0000-0100-000003000000}"/>
    <hyperlink ref="G30" r:id="rId5" display="Methane Emission Factor" xr:uid="{00000000-0004-0000-0100-000004000000}"/>
    <hyperlink ref="K30" r:id="rId6" display="Methane Emission Factor" xr:uid="{00000000-0004-0000-0100-000005000000}"/>
    <hyperlink ref="G35" r:id="rId7" display="Methane Emission Factor" xr:uid="{00000000-0004-0000-0100-000006000000}"/>
    <hyperlink ref="K35" r:id="rId8" display="Methane Emission Factor" xr:uid="{00000000-0004-0000-0100-000007000000}"/>
    <hyperlink ref="G40" r:id="rId9" display="Methane Emission Factor" xr:uid="{00000000-0004-0000-0100-000008000000}"/>
    <hyperlink ref="K40" r:id="rId10" display="Methane Emission Factor" xr:uid="{00000000-0004-0000-0100-000009000000}"/>
  </hyperlinks>
  <pageMargins left="0.511811024" right="0.511811024" top="0.78740157499999996" bottom="0.78740157499999996" header="0.31496062000000002" footer="0.31496062000000002"/>
  <pageSetup paperSize="9" orientation="portrait" r:id="rId11"/>
  <legacyDrawing r:id="rId1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Lists!$E$3:$E$4</xm:f>
          </x14:formula1>
          <xm:sqref>K13 G13 K10 G10</xm:sqref>
        </x14:dataValidation>
        <x14:dataValidation type="list" allowBlank="1" showInputMessage="1" showErrorMessage="1" xr:uid="{00000000-0002-0000-0100-000001000000}">
          <x14:formula1>
            <xm:f>'Emission Factors'!$M$4:$M$9</xm:f>
          </x14:formula1>
          <xm:sqref>I13 E10 E13 I10</xm:sqref>
        </x14:dataValidation>
        <x14:dataValidation type="list" allowBlank="1" showInputMessage="1" showErrorMessage="1" xr:uid="{00000000-0002-0000-0100-000002000000}">
          <x14:formula1>
            <xm:f>Lists!$C$3:$C$8</xm:f>
          </x14:formula1>
          <xm:sqref>E19 E24 E34 E29 E39</xm:sqref>
        </x14:dataValidation>
        <x14:dataValidation type="list" allowBlank="1" showInputMessage="1" showErrorMessage="1" xr:uid="{00000000-0002-0000-0100-000003000000}">
          <x14:formula1>
            <xm:f>Lists!$B$3:$B$10</xm:f>
          </x14:formula1>
          <xm:sqref>D3</xm:sqref>
        </x14:dataValidation>
        <x14:dataValidation type="list" allowBlank="1" showInputMessage="1" showErrorMessage="1" xr:uid="{00000000-0002-0000-0100-000004000000}">
          <x14:formula1>
            <xm:f>Lists!$I$3:$I$23</xm:f>
          </x14:formula1>
          <xm:sqref>F65 F69 F67 F71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H29"/>
  <sheetViews>
    <sheetView showGridLines="0" zoomScale="70" zoomScaleNormal="70" workbookViewId="0">
      <selection activeCell="C4" sqref="C4"/>
    </sheetView>
  </sheetViews>
  <sheetFormatPr defaultColWidth="0" defaultRowHeight="19.8" x14ac:dyDescent="0.7"/>
  <cols>
    <col min="1" max="1" width="2.5546875" style="3" customWidth="1"/>
    <col min="2" max="2" width="57.33203125" style="3" bestFit="1" customWidth="1"/>
    <col min="3" max="3" width="16.88671875" style="3" customWidth="1"/>
    <col min="4" max="4" width="16.33203125" style="3" customWidth="1"/>
    <col min="5" max="5" width="16.6640625" style="3" customWidth="1"/>
    <col min="6" max="7" width="16.33203125" style="3" customWidth="1"/>
    <col min="8" max="8" width="17.5546875" style="3" customWidth="1"/>
    <col min="9" max="9" width="18.6640625" style="3" customWidth="1"/>
    <col min="10" max="10" width="16.6640625" style="3" customWidth="1"/>
    <col min="11" max="11" width="17.109375" style="3" customWidth="1"/>
    <col min="12" max="12" width="15.33203125" style="3" customWidth="1"/>
    <col min="13" max="13" width="15.109375" style="3" customWidth="1"/>
    <col min="14" max="14" width="8.6640625" style="3" customWidth="1"/>
    <col min="15" max="34" width="0" style="3" hidden="1" customWidth="1"/>
    <col min="35" max="16384" width="8.6640625" style="3" hidden="1"/>
  </cols>
  <sheetData>
    <row r="1" spans="2:3" ht="20.399999999999999" thickBot="1" x14ac:dyDescent="0.75"/>
    <row r="2" spans="2:3" ht="31.2" customHeight="1" x14ac:dyDescent="0.7">
      <c r="B2" s="316" t="s">
        <v>58</v>
      </c>
      <c r="C2" s="317"/>
    </row>
    <row r="3" spans="2:3" ht="29.4" customHeight="1" x14ac:dyDescent="0.7">
      <c r="B3" s="4" t="s">
        <v>59</v>
      </c>
      <c r="C3" s="179">
        <f>'Data Input'!E3</f>
        <v>1000</v>
      </c>
    </row>
    <row r="4" spans="2:3" ht="29.4" customHeight="1" thickBot="1" x14ac:dyDescent="0.75">
      <c r="B4" s="4" t="s">
        <v>324</v>
      </c>
      <c r="C4" s="232">
        <v>0.5</v>
      </c>
    </row>
    <row r="5" spans="2:3" ht="29.4" customHeight="1" thickBot="1" x14ac:dyDescent="0.75">
      <c r="B5" s="177" t="s">
        <v>60</v>
      </c>
      <c r="C5" s="183">
        <f>SUM(C6:C14)</f>
        <v>7.7550976361199995</v>
      </c>
    </row>
    <row r="6" spans="2:3" ht="29.4" customHeight="1" x14ac:dyDescent="0.7">
      <c r="B6" s="188" t="s">
        <v>61</v>
      </c>
      <c r="C6" s="180">
        <f>Calculations!U10</f>
        <v>7.7550976361199995</v>
      </c>
    </row>
    <row r="7" spans="2:3" ht="29.4" customHeight="1" x14ac:dyDescent="0.7">
      <c r="B7" s="189" t="s">
        <v>62</v>
      </c>
      <c r="C7" s="181">
        <f>Calculations!U32</f>
        <v>0</v>
      </c>
    </row>
    <row r="8" spans="2:3" ht="29.4" customHeight="1" x14ac:dyDescent="0.7">
      <c r="B8" s="189" t="s">
        <v>63</v>
      </c>
      <c r="C8" s="181">
        <f>Calculations!U37</f>
        <v>0</v>
      </c>
    </row>
    <row r="9" spans="2:3" ht="29.4" customHeight="1" x14ac:dyDescent="0.7">
      <c r="B9" s="189" t="s">
        <v>64</v>
      </c>
      <c r="C9" s="181">
        <f>Calculations!U73</f>
        <v>0</v>
      </c>
    </row>
    <row r="10" spans="2:3" ht="29.4" customHeight="1" x14ac:dyDescent="0.7">
      <c r="B10" s="189" t="s">
        <v>65</v>
      </c>
      <c r="C10" s="181">
        <f>Calculations!U64</f>
        <v>0</v>
      </c>
    </row>
    <row r="11" spans="2:3" ht="29.4" customHeight="1" x14ac:dyDescent="0.7">
      <c r="B11" s="189" t="s">
        <v>66</v>
      </c>
      <c r="C11" s="181">
        <f>Calculations!U135+Calculations!Y135+Calculations!AC135</f>
        <v>0</v>
      </c>
    </row>
    <row r="12" spans="2:3" ht="29.4" customHeight="1" x14ac:dyDescent="0.7">
      <c r="B12" s="189" t="s">
        <v>67</v>
      </c>
      <c r="C12" s="181">
        <f>Calculations!U150+Calculations!Y150+Calculations!AC150</f>
        <v>0</v>
      </c>
    </row>
    <row r="13" spans="2:3" ht="29.4" customHeight="1" x14ac:dyDescent="0.7">
      <c r="B13" s="189" t="s">
        <v>68</v>
      </c>
      <c r="C13" s="181">
        <f>Calculations!U165</f>
        <v>0</v>
      </c>
    </row>
    <row r="14" spans="2:3" ht="29.4" customHeight="1" thickBot="1" x14ac:dyDescent="0.75">
      <c r="B14" s="190" t="s">
        <v>69</v>
      </c>
      <c r="C14" s="182">
        <f>Calculations!U48</f>
        <v>0</v>
      </c>
    </row>
    <row r="15" spans="2:3" ht="29.4" customHeight="1" x14ac:dyDescent="0.7">
      <c r="B15" s="178" t="s">
        <v>70</v>
      </c>
      <c r="C15" s="233">
        <v>0.1</v>
      </c>
    </row>
    <row r="16" spans="2:3" ht="29.4" customHeight="1" thickBot="1" x14ac:dyDescent="0.75">
      <c r="B16" s="5" t="s">
        <v>71</v>
      </c>
      <c r="C16" s="234">
        <v>0.2</v>
      </c>
    </row>
    <row r="17" spans="2:13" ht="36" customHeight="1" thickBot="1" x14ac:dyDescent="0.75">
      <c r="B17" s="6"/>
      <c r="C17" s="6"/>
      <c r="D17" s="6"/>
      <c r="E17" s="6"/>
      <c r="F17" s="6"/>
      <c r="G17" s="6"/>
      <c r="H17" s="6"/>
      <c r="I17" s="6"/>
      <c r="J17" s="6"/>
      <c r="K17" s="6"/>
      <c r="L17" s="6"/>
      <c r="M17" s="6"/>
    </row>
    <row r="18" spans="2:13" s="7" customFormat="1" ht="25.2" customHeight="1" x14ac:dyDescent="0.25">
      <c r="B18" s="321" t="s">
        <v>72</v>
      </c>
      <c r="C18" s="322"/>
      <c r="D18" s="322"/>
      <c r="E18" s="322"/>
      <c r="F18" s="322"/>
      <c r="G18" s="322"/>
      <c r="H18" s="322"/>
      <c r="I18" s="322"/>
      <c r="J18" s="322"/>
      <c r="K18" s="322"/>
      <c r="L18" s="322"/>
      <c r="M18" s="323"/>
    </row>
    <row r="19" spans="2:13" s="8" customFormat="1" ht="25.2" customHeight="1" x14ac:dyDescent="0.25">
      <c r="B19" s="314" t="s">
        <v>73</v>
      </c>
      <c r="C19" s="318" t="s">
        <v>74</v>
      </c>
      <c r="D19" s="319"/>
      <c r="E19" s="319"/>
      <c r="F19" s="319"/>
      <c r="G19" s="319"/>
      <c r="H19" s="319"/>
      <c r="I19" s="319"/>
      <c r="J19" s="319"/>
      <c r="K19" s="319"/>
      <c r="L19" s="319"/>
      <c r="M19" s="320"/>
    </row>
    <row r="20" spans="2:13" s="8" customFormat="1" ht="27.6" customHeight="1" x14ac:dyDescent="0.25">
      <c r="B20" s="315"/>
      <c r="C20" s="9">
        <v>0</v>
      </c>
      <c r="D20" s="9">
        <v>1</v>
      </c>
      <c r="E20" s="9">
        <v>2</v>
      </c>
      <c r="F20" s="9">
        <v>3</v>
      </c>
      <c r="G20" s="9">
        <v>4</v>
      </c>
      <c r="H20" s="9">
        <v>5</v>
      </c>
      <c r="I20" s="9">
        <v>6</v>
      </c>
      <c r="J20" s="10">
        <v>7</v>
      </c>
      <c r="K20" s="10">
        <v>8</v>
      </c>
      <c r="L20" s="11">
        <v>9</v>
      </c>
      <c r="M20" s="12">
        <v>10</v>
      </c>
    </row>
    <row r="21" spans="2:13" s="8" customFormat="1" ht="27.6" customHeight="1" x14ac:dyDescent="0.25">
      <c r="B21" s="13" t="s">
        <v>75</v>
      </c>
      <c r="C21" s="14"/>
      <c r="D21" s="14">
        <f>$C$4*$C$3</f>
        <v>500</v>
      </c>
      <c r="E21" s="14">
        <f t="shared" ref="E21:M21" si="0">$C$4*$C$3</f>
        <v>500</v>
      </c>
      <c r="F21" s="14">
        <f t="shared" si="0"/>
        <v>500</v>
      </c>
      <c r="G21" s="14">
        <f t="shared" si="0"/>
        <v>500</v>
      </c>
      <c r="H21" s="14">
        <f t="shared" si="0"/>
        <v>500</v>
      </c>
      <c r="I21" s="14">
        <f t="shared" si="0"/>
        <v>500</v>
      </c>
      <c r="J21" s="14">
        <f t="shared" si="0"/>
        <v>500</v>
      </c>
      <c r="K21" s="14">
        <f t="shared" si="0"/>
        <v>500</v>
      </c>
      <c r="L21" s="14">
        <f t="shared" si="0"/>
        <v>500</v>
      </c>
      <c r="M21" s="15">
        <f t="shared" si="0"/>
        <v>500</v>
      </c>
    </row>
    <row r="22" spans="2:13" s="8" customFormat="1" ht="27.6" customHeight="1" x14ac:dyDescent="0.25">
      <c r="B22" s="13" t="s">
        <v>60</v>
      </c>
      <c r="C22" s="14"/>
      <c r="D22" s="14">
        <f>$C$5</f>
        <v>7.7550976361199995</v>
      </c>
      <c r="E22" s="14">
        <f t="shared" ref="E22:M22" si="1">$C$5</f>
        <v>7.7550976361199995</v>
      </c>
      <c r="F22" s="14">
        <f t="shared" si="1"/>
        <v>7.7550976361199995</v>
      </c>
      <c r="G22" s="14">
        <f t="shared" si="1"/>
        <v>7.7550976361199995</v>
      </c>
      <c r="H22" s="14">
        <f t="shared" si="1"/>
        <v>7.7550976361199995</v>
      </c>
      <c r="I22" s="14">
        <f t="shared" si="1"/>
        <v>7.7550976361199995</v>
      </c>
      <c r="J22" s="14">
        <f t="shared" si="1"/>
        <v>7.7550976361199995</v>
      </c>
      <c r="K22" s="14">
        <f t="shared" si="1"/>
        <v>7.7550976361199995</v>
      </c>
      <c r="L22" s="14">
        <f t="shared" si="1"/>
        <v>7.7550976361199995</v>
      </c>
      <c r="M22" s="15">
        <f t="shared" si="1"/>
        <v>7.7550976361199995</v>
      </c>
    </row>
    <row r="23" spans="2:13" s="8" customFormat="1" ht="27.6" customHeight="1" x14ac:dyDescent="0.25">
      <c r="B23" s="13" t="s">
        <v>76</v>
      </c>
      <c r="C23" s="14"/>
      <c r="D23" s="14">
        <f>(D21-D22)*$C$15</f>
        <v>49.224490236388</v>
      </c>
      <c r="E23" s="14">
        <f t="shared" ref="E23:M23" si="2">(E21-E22)*$C$15</f>
        <v>49.224490236388</v>
      </c>
      <c r="F23" s="14">
        <f t="shared" si="2"/>
        <v>49.224490236388</v>
      </c>
      <c r="G23" s="14">
        <f t="shared" si="2"/>
        <v>49.224490236388</v>
      </c>
      <c r="H23" s="14">
        <f t="shared" si="2"/>
        <v>49.224490236388</v>
      </c>
      <c r="I23" s="14">
        <f t="shared" si="2"/>
        <v>49.224490236388</v>
      </c>
      <c r="J23" s="14">
        <f t="shared" si="2"/>
        <v>49.224490236388</v>
      </c>
      <c r="K23" s="14">
        <f t="shared" si="2"/>
        <v>49.224490236388</v>
      </c>
      <c r="L23" s="14">
        <f t="shared" si="2"/>
        <v>49.224490236388</v>
      </c>
      <c r="M23" s="15">
        <f t="shared" si="2"/>
        <v>49.224490236388</v>
      </c>
    </row>
    <row r="24" spans="2:13" s="8" customFormat="1" ht="27.6" customHeight="1" x14ac:dyDescent="0.25">
      <c r="B24" s="13" t="s">
        <v>77</v>
      </c>
      <c r="C24" s="14"/>
      <c r="D24" s="14">
        <f t="shared" ref="D24:M24" si="3">D21*$C$16</f>
        <v>100</v>
      </c>
      <c r="E24" s="14">
        <f t="shared" si="3"/>
        <v>100</v>
      </c>
      <c r="F24" s="14">
        <f t="shared" si="3"/>
        <v>100</v>
      </c>
      <c r="G24" s="14">
        <f t="shared" si="3"/>
        <v>100</v>
      </c>
      <c r="H24" s="14">
        <f t="shared" si="3"/>
        <v>100</v>
      </c>
      <c r="I24" s="14">
        <f t="shared" si="3"/>
        <v>100</v>
      </c>
      <c r="J24" s="14">
        <f t="shared" si="3"/>
        <v>100</v>
      </c>
      <c r="K24" s="14">
        <f t="shared" si="3"/>
        <v>100</v>
      </c>
      <c r="L24" s="14">
        <f t="shared" si="3"/>
        <v>100</v>
      </c>
      <c r="M24" s="15">
        <f t="shared" si="3"/>
        <v>100</v>
      </c>
    </row>
    <row r="25" spans="2:13" ht="30.6" customHeight="1" thickBot="1" x14ac:dyDescent="0.75">
      <c r="B25" s="16" t="s">
        <v>78</v>
      </c>
      <c r="C25" s="17">
        <v>0</v>
      </c>
      <c r="D25" s="17">
        <f t="shared" ref="D25:M25" si="4">D21-D22-D23-D24</f>
        <v>343.02041212749197</v>
      </c>
      <c r="E25" s="17">
        <f t="shared" si="4"/>
        <v>343.02041212749197</v>
      </c>
      <c r="F25" s="17">
        <f t="shared" si="4"/>
        <v>343.02041212749197</v>
      </c>
      <c r="G25" s="17">
        <f t="shared" si="4"/>
        <v>343.02041212749197</v>
      </c>
      <c r="H25" s="17">
        <f t="shared" si="4"/>
        <v>343.02041212749197</v>
      </c>
      <c r="I25" s="17">
        <f t="shared" si="4"/>
        <v>343.02041212749197</v>
      </c>
      <c r="J25" s="17">
        <f t="shared" si="4"/>
        <v>343.02041212749197</v>
      </c>
      <c r="K25" s="17">
        <f t="shared" si="4"/>
        <v>343.02041212749197</v>
      </c>
      <c r="L25" s="17">
        <f t="shared" si="4"/>
        <v>343.02041212749197</v>
      </c>
      <c r="M25" s="18">
        <f t="shared" si="4"/>
        <v>343.02041212749197</v>
      </c>
    </row>
    <row r="26" spans="2:13" ht="22.95" customHeight="1" thickBot="1" x14ac:dyDescent="0.75">
      <c r="B26" s="19"/>
      <c r="C26" s="19"/>
    </row>
    <row r="27" spans="2:13" ht="27" customHeight="1" x14ac:dyDescent="0.7">
      <c r="B27" s="20" t="s">
        <v>79</v>
      </c>
      <c r="C27" s="21"/>
    </row>
    <row r="28" spans="2:13" ht="54.6" customHeight="1" x14ac:dyDescent="0.7">
      <c r="B28" s="22" t="s">
        <v>80</v>
      </c>
      <c r="C28" s="23" t="s">
        <v>81</v>
      </c>
    </row>
    <row r="29" spans="2:13" ht="20.100000000000001" customHeight="1" thickBot="1" x14ac:dyDescent="0.75">
      <c r="B29" s="24">
        <f>SUM(D25:M25)</f>
        <v>3430.2041212749195</v>
      </c>
      <c r="C29" s="25">
        <f>B29/10</f>
        <v>343.02041212749197</v>
      </c>
      <c r="F29" s="26"/>
    </row>
  </sheetData>
  <sheetProtection algorithmName="SHA-512" hashValue="ijQW6HbEYaLU0GKNK/udwRoGbI5e9rSQrr+9Ihvr1jZqNiLj/EXaytByjdXyYeqRWbWjJgG/53NzJzIJAu1FwA==" saltValue="oESLZ2YTAVpKE1gs5/kjOw==" spinCount="100000" sheet="1" objects="1" scenarios="1"/>
  <mergeCells count="4">
    <mergeCell ref="B19:B20"/>
    <mergeCell ref="B2:C2"/>
    <mergeCell ref="C19:M19"/>
    <mergeCell ref="B18:M18"/>
  </mergeCells>
  <pageMargins left="0.78740157499999996" right="0.78740157499999996" top="0.984251969" bottom="0.984251969"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O43"/>
  <sheetViews>
    <sheetView showGridLines="0" zoomScale="85" zoomScaleNormal="85" workbookViewId="0">
      <selection activeCell="C4" sqref="C4"/>
    </sheetView>
  </sheetViews>
  <sheetFormatPr defaultColWidth="0" defaultRowHeight="19.8" x14ac:dyDescent="0.7"/>
  <cols>
    <col min="1" max="1" width="2.33203125" style="3" customWidth="1"/>
    <col min="2" max="2" width="41.6640625" style="3" customWidth="1"/>
    <col min="3" max="12" width="16.33203125" style="3" bestFit="1" customWidth="1"/>
    <col min="13" max="13" width="8.6640625" style="3" customWidth="1"/>
    <col min="14" max="16" width="8.6640625" style="3" hidden="1" customWidth="1"/>
    <col min="17" max="17" width="10.6640625" style="3" hidden="1" customWidth="1"/>
    <col min="18" max="19" width="8.6640625" style="3" hidden="1" customWidth="1"/>
    <col min="20" max="21" width="10.6640625" style="3" hidden="1" customWidth="1"/>
    <col min="22" max="33" width="0" style="3" hidden="1" customWidth="1"/>
    <col min="34" max="36" width="8.6640625" style="3" hidden="1" customWidth="1"/>
    <col min="37" max="37" width="10.6640625" style="3" hidden="1" customWidth="1"/>
    <col min="38" max="39" width="8.6640625" style="3" hidden="1" customWidth="1"/>
    <col min="40" max="41" width="10.6640625" style="3" hidden="1" customWidth="1"/>
    <col min="42" max="16384" width="8.6640625" style="3" hidden="1"/>
  </cols>
  <sheetData>
    <row r="1" spans="2:12" ht="20.399999999999999" thickBot="1" x14ac:dyDescent="0.75"/>
    <row r="2" spans="2:12" ht="22.5" customHeight="1" x14ac:dyDescent="0.7">
      <c r="B2" s="32" t="s">
        <v>58</v>
      </c>
      <c r="C2" s="33"/>
      <c r="D2" s="33"/>
      <c r="E2" s="34"/>
      <c r="F2" s="35"/>
      <c r="G2" s="35"/>
      <c r="H2" s="35"/>
      <c r="I2" s="35"/>
      <c r="J2" s="35"/>
    </row>
    <row r="3" spans="2:12" ht="22.95" customHeight="1" x14ac:dyDescent="0.7">
      <c r="B3" s="36" t="s">
        <v>82</v>
      </c>
      <c r="C3" s="37" t="s">
        <v>83</v>
      </c>
      <c r="D3" s="328" t="s">
        <v>84</v>
      </c>
      <c r="E3" s="329"/>
      <c r="F3" s="35"/>
      <c r="G3" s="35"/>
      <c r="H3" s="35"/>
      <c r="I3" s="35"/>
      <c r="J3" s="35"/>
    </row>
    <row r="4" spans="2:12" ht="41.4" customHeight="1" x14ac:dyDescent="0.7">
      <c r="B4" s="38" t="s">
        <v>85</v>
      </c>
      <c r="C4" s="39">
        <v>10</v>
      </c>
      <c r="D4" s="330" t="s">
        <v>86</v>
      </c>
      <c r="E4" s="331"/>
      <c r="F4" s="35"/>
      <c r="G4" s="35"/>
      <c r="H4" s="35"/>
      <c r="I4" s="35"/>
      <c r="J4" s="35"/>
    </row>
    <row r="5" spans="2:12" x14ac:dyDescent="0.7">
      <c r="B5" s="332" t="s">
        <v>87</v>
      </c>
      <c r="C5" s="335">
        <v>0.12</v>
      </c>
      <c r="D5" s="338" t="s">
        <v>88</v>
      </c>
      <c r="E5" s="339"/>
      <c r="F5" s="35"/>
      <c r="G5" s="35"/>
      <c r="H5" s="35"/>
      <c r="I5" s="35"/>
      <c r="J5" s="35"/>
    </row>
    <row r="6" spans="2:12" ht="13.2" customHeight="1" x14ac:dyDescent="0.7">
      <c r="B6" s="333"/>
      <c r="C6" s="336"/>
      <c r="D6" s="340"/>
      <c r="E6" s="341"/>
      <c r="F6" s="35"/>
      <c r="G6" s="35"/>
      <c r="H6" s="35"/>
      <c r="I6" s="35"/>
      <c r="J6" s="35"/>
    </row>
    <row r="7" spans="2:12" ht="10.199999999999999" customHeight="1" x14ac:dyDescent="0.7">
      <c r="B7" s="334"/>
      <c r="C7" s="337"/>
      <c r="D7" s="342"/>
      <c r="E7" s="343"/>
      <c r="F7" s="35"/>
      <c r="G7" s="35"/>
      <c r="H7" s="35"/>
      <c r="I7" s="35"/>
      <c r="J7" s="35"/>
    </row>
    <row r="8" spans="2:12" x14ac:dyDescent="0.7">
      <c r="B8" s="40" t="s">
        <v>89</v>
      </c>
      <c r="C8" s="41">
        <v>0</v>
      </c>
      <c r="D8" s="42"/>
      <c r="E8" s="43"/>
      <c r="F8" s="35"/>
      <c r="G8" s="35"/>
      <c r="H8" s="35"/>
      <c r="I8" s="35"/>
      <c r="J8" s="35"/>
    </row>
    <row r="9" spans="2:12" ht="20.399999999999999" thickBot="1" x14ac:dyDescent="0.75">
      <c r="B9" s="44" t="s">
        <v>90</v>
      </c>
      <c r="C9" s="45">
        <v>0</v>
      </c>
      <c r="D9" s="344"/>
      <c r="E9" s="345"/>
      <c r="F9" s="35"/>
      <c r="G9" s="35"/>
      <c r="H9" s="35"/>
      <c r="I9" s="35"/>
      <c r="J9" s="35"/>
    </row>
    <row r="10" spans="2:12" ht="20.399999999999999" thickBot="1" x14ac:dyDescent="0.75">
      <c r="B10" s="46"/>
      <c r="C10" s="46"/>
      <c r="D10" s="46"/>
      <c r="E10" s="35"/>
      <c r="F10" s="35"/>
      <c r="G10" s="35"/>
      <c r="H10" s="35"/>
      <c r="I10" s="35"/>
      <c r="J10" s="35"/>
    </row>
    <row r="11" spans="2:12" x14ac:dyDescent="0.7">
      <c r="B11" s="326" t="s">
        <v>91</v>
      </c>
      <c r="C11" s="324" t="s">
        <v>92</v>
      </c>
      <c r="D11" s="324" t="s">
        <v>93</v>
      </c>
      <c r="E11" s="324" t="s">
        <v>94</v>
      </c>
      <c r="F11" s="324" t="s">
        <v>95</v>
      </c>
      <c r="G11" s="324" t="s">
        <v>96</v>
      </c>
      <c r="H11" s="324" t="s">
        <v>97</v>
      </c>
      <c r="I11" s="324" t="s">
        <v>98</v>
      </c>
      <c r="J11" s="324" t="s">
        <v>99</v>
      </c>
      <c r="K11" s="324" t="s">
        <v>100</v>
      </c>
      <c r="L11" s="349" t="s">
        <v>101</v>
      </c>
    </row>
    <row r="12" spans="2:12" ht="20.399999999999999" thickBot="1" x14ac:dyDescent="0.75">
      <c r="B12" s="327"/>
      <c r="C12" s="325"/>
      <c r="D12" s="325"/>
      <c r="E12" s="325"/>
      <c r="F12" s="325"/>
      <c r="G12" s="325"/>
      <c r="H12" s="325"/>
      <c r="I12" s="325"/>
      <c r="J12" s="325"/>
      <c r="K12" s="325"/>
      <c r="L12" s="350"/>
    </row>
    <row r="13" spans="2:12" s="8" customFormat="1" ht="15.6" customHeight="1" x14ac:dyDescent="0.25">
      <c r="B13" s="47" t="s">
        <v>102</v>
      </c>
      <c r="C13" s="48"/>
      <c r="D13" s="48"/>
      <c r="E13" s="48"/>
      <c r="F13" s="48"/>
      <c r="G13" s="48"/>
      <c r="H13" s="48"/>
      <c r="I13" s="48"/>
      <c r="J13" s="48"/>
      <c r="K13" s="48"/>
      <c r="L13" s="49"/>
    </row>
    <row r="14" spans="2:12" s="8" customFormat="1" ht="15.6" customHeight="1" thickBot="1" x14ac:dyDescent="0.3">
      <c r="B14" s="50" t="s">
        <v>103</v>
      </c>
      <c r="C14" s="51">
        <f>'Carbon Estimates'!D25</f>
        <v>343.02041212749197</v>
      </c>
      <c r="D14" s="51">
        <f>'Carbon Estimates'!E25</f>
        <v>343.02041212749197</v>
      </c>
      <c r="E14" s="51">
        <f>'Carbon Estimates'!F25</f>
        <v>343.02041212749197</v>
      </c>
      <c r="F14" s="51">
        <f>'Carbon Estimates'!G25</f>
        <v>343.02041212749197</v>
      </c>
      <c r="G14" s="51">
        <f>'Carbon Estimates'!H25</f>
        <v>343.02041212749197</v>
      </c>
      <c r="H14" s="51">
        <f>'Carbon Estimates'!I25</f>
        <v>343.02041212749197</v>
      </c>
      <c r="I14" s="51">
        <f>'Carbon Estimates'!J25</f>
        <v>343.02041212749197</v>
      </c>
      <c r="J14" s="51">
        <f>'Carbon Estimates'!K25</f>
        <v>343.02041212749197</v>
      </c>
      <c r="K14" s="51">
        <f>'Carbon Estimates'!L25</f>
        <v>343.02041212749197</v>
      </c>
      <c r="L14" s="52">
        <f>'Carbon Estimates'!M25</f>
        <v>343.02041212749197</v>
      </c>
    </row>
    <row r="15" spans="2:12" s="8" customFormat="1" ht="18.600000000000001" customHeight="1" thickTop="1" x14ac:dyDescent="0.25">
      <c r="B15" s="53" t="s">
        <v>104</v>
      </c>
      <c r="C15" s="54">
        <f t="shared" ref="C15:I15" si="0">C14*$C$4</f>
        <v>3430.2041212749195</v>
      </c>
      <c r="D15" s="54">
        <f t="shared" si="0"/>
        <v>3430.2041212749195</v>
      </c>
      <c r="E15" s="54">
        <f t="shared" si="0"/>
        <v>3430.2041212749195</v>
      </c>
      <c r="F15" s="54">
        <f t="shared" si="0"/>
        <v>3430.2041212749195</v>
      </c>
      <c r="G15" s="54">
        <f t="shared" si="0"/>
        <v>3430.2041212749195</v>
      </c>
      <c r="H15" s="54">
        <f t="shared" si="0"/>
        <v>3430.2041212749195</v>
      </c>
      <c r="I15" s="54">
        <f t="shared" si="0"/>
        <v>3430.2041212749195</v>
      </c>
      <c r="J15" s="54">
        <f t="shared" ref="J15:L15" si="1">J14*$C$4</f>
        <v>3430.2041212749195</v>
      </c>
      <c r="K15" s="54">
        <f t="shared" si="1"/>
        <v>3430.2041212749195</v>
      </c>
      <c r="L15" s="55">
        <f t="shared" si="1"/>
        <v>3430.2041212749195</v>
      </c>
    </row>
    <row r="16" spans="2:12" s="8" customFormat="1" ht="18.600000000000001" customHeight="1" x14ac:dyDescent="0.25">
      <c r="B16" s="53" t="s">
        <v>105</v>
      </c>
      <c r="C16" s="56">
        <f t="shared" ref="C16:I16" si="2">C15*-$C$8</f>
        <v>0</v>
      </c>
      <c r="D16" s="56">
        <f t="shared" si="2"/>
        <v>0</v>
      </c>
      <c r="E16" s="56">
        <f t="shared" si="2"/>
        <v>0</v>
      </c>
      <c r="F16" s="56">
        <f t="shared" si="2"/>
        <v>0</v>
      </c>
      <c r="G16" s="56">
        <f t="shared" si="2"/>
        <v>0</v>
      </c>
      <c r="H16" s="56">
        <f t="shared" si="2"/>
        <v>0</v>
      </c>
      <c r="I16" s="56">
        <f t="shared" si="2"/>
        <v>0</v>
      </c>
      <c r="J16" s="56">
        <f t="shared" ref="J16:L16" si="3">J15*-$C$8</f>
        <v>0</v>
      </c>
      <c r="K16" s="56">
        <f t="shared" si="3"/>
        <v>0</v>
      </c>
      <c r="L16" s="57">
        <f t="shared" si="3"/>
        <v>0</v>
      </c>
    </row>
    <row r="17" spans="2:12" s="8" customFormat="1" ht="15.6" customHeight="1" thickBot="1" x14ac:dyDescent="0.3">
      <c r="B17" s="58" t="s">
        <v>106</v>
      </c>
      <c r="C17" s="59">
        <f>C15+C16</f>
        <v>3430.2041212749195</v>
      </c>
      <c r="D17" s="59">
        <f>D15+D16</f>
        <v>3430.2041212749195</v>
      </c>
      <c r="E17" s="59">
        <f>E15+E16</f>
        <v>3430.2041212749195</v>
      </c>
      <c r="F17" s="59">
        <f>F15+F16</f>
        <v>3430.2041212749195</v>
      </c>
      <c r="G17" s="59">
        <f>G15+G16</f>
        <v>3430.2041212749195</v>
      </c>
      <c r="H17" s="59">
        <f t="shared" ref="H17:I17" si="4">H15+H16</f>
        <v>3430.2041212749195</v>
      </c>
      <c r="I17" s="59">
        <f t="shared" si="4"/>
        <v>3430.2041212749195</v>
      </c>
      <c r="J17" s="59">
        <f t="shared" ref="J17:L17" si="5">J15+J16</f>
        <v>3430.2041212749195</v>
      </c>
      <c r="K17" s="59">
        <f t="shared" si="5"/>
        <v>3430.2041212749195</v>
      </c>
      <c r="L17" s="60">
        <f t="shared" si="5"/>
        <v>3430.2041212749195</v>
      </c>
    </row>
    <row r="18" spans="2:12" ht="20.399999999999999" thickBot="1" x14ac:dyDescent="0.75">
      <c r="B18" s="61"/>
      <c r="C18" s="62"/>
      <c r="D18" s="62"/>
      <c r="E18" s="62"/>
      <c r="F18" s="62"/>
      <c r="G18" s="62"/>
      <c r="H18" s="62"/>
      <c r="I18" s="62"/>
      <c r="J18" s="62"/>
      <c r="K18" s="62"/>
      <c r="L18" s="62"/>
    </row>
    <row r="19" spans="2:12" x14ac:dyDescent="0.7">
      <c r="B19" s="346" t="s">
        <v>107</v>
      </c>
      <c r="C19" s="348" t="s">
        <v>92</v>
      </c>
      <c r="D19" s="348" t="s">
        <v>93</v>
      </c>
      <c r="E19" s="348" t="s">
        <v>94</v>
      </c>
      <c r="F19" s="348" t="s">
        <v>95</v>
      </c>
      <c r="G19" s="348" t="s">
        <v>96</v>
      </c>
      <c r="H19" s="348" t="s">
        <v>97</v>
      </c>
      <c r="I19" s="348" t="s">
        <v>98</v>
      </c>
      <c r="J19" s="348" t="s">
        <v>99</v>
      </c>
      <c r="K19" s="348" t="s">
        <v>100</v>
      </c>
      <c r="L19" s="351" t="s">
        <v>101</v>
      </c>
    </row>
    <row r="20" spans="2:12" ht="20.399999999999999" thickBot="1" x14ac:dyDescent="0.75">
      <c r="B20" s="347"/>
      <c r="C20" s="325"/>
      <c r="D20" s="325"/>
      <c r="E20" s="325"/>
      <c r="F20" s="325"/>
      <c r="G20" s="325"/>
      <c r="H20" s="325"/>
      <c r="I20" s="325"/>
      <c r="J20" s="325"/>
      <c r="K20" s="325"/>
      <c r="L20" s="352"/>
    </row>
    <row r="21" spans="2:12" s="8" customFormat="1" ht="18" customHeight="1" x14ac:dyDescent="0.25">
      <c r="B21" s="95" t="s">
        <v>108</v>
      </c>
      <c r="C21" s="63">
        <v>54000</v>
      </c>
      <c r="D21" s="92"/>
      <c r="E21" s="92"/>
      <c r="F21" s="92"/>
      <c r="G21" s="92"/>
      <c r="H21" s="92"/>
      <c r="I21" s="92"/>
      <c r="J21" s="92"/>
      <c r="K21" s="92"/>
      <c r="L21" s="96"/>
    </row>
    <row r="22" spans="2:12" s="8" customFormat="1" ht="18" customHeight="1" x14ac:dyDescent="0.25">
      <c r="B22" s="95" t="s">
        <v>109</v>
      </c>
      <c r="C22" s="63">
        <v>20000</v>
      </c>
      <c r="D22" s="92"/>
      <c r="E22" s="92"/>
      <c r="F22" s="92"/>
      <c r="G22" s="64"/>
      <c r="H22" s="92"/>
      <c r="I22" s="92"/>
      <c r="J22" s="92"/>
      <c r="K22" s="92"/>
      <c r="L22" s="96"/>
    </row>
    <row r="23" spans="2:12" s="8" customFormat="1" ht="18" customHeight="1" x14ac:dyDescent="0.25">
      <c r="B23" s="97" t="s">
        <v>110</v>
      </c>
      <c r="C23" s="63">
        <v>15000</v>
      </c>
      <c r="D23" s="63">
        <v>15000</v>
      </c>
      <c r="E23" s="63">
        <v>15000</v>
      </c>
      <c r="F23" s="63">
        <v>15000</v>
      </c>
      <c r="G23" s="63">
        <v>15000</v>
      </c>
      <c r="H23" s="63">
        <v>15000</v>
      </c>
      <c r="I23" s="63">
        <v>15000</v>
      </c>
      <c r="J23" s="63">
        <v>15000</v>
      </c>
      <c r="K23" s="63">
        <v>15000</v>
      </c>
      <c r="L23" s="98">
        <v>15000</v>
      </c>
    </row>
    <row r="24" spans="2:12" s="8" customFormat="1" ht="18" customHeight="1" x14ac:dyDescent="0.25">
      <c r="B24" s="95" t="s">
        <v>111</v>
      </c>
      <c r="C24" s="65">
        <v>800</v>
      </c>
      <c r="D24" s="65">
        <v>800</v>
      </c>
      <c r="E24" s="65">
        <v>800</v>
      </c>
      <c r="F24" s="65">
        <v>800</v>
      </c>
      <c r="G24" s="65">
        <v>800</v>
      </c>
      <c r="H24" s="65">
        <v>800</v>
      </c>
      <c r="I24" s="65">
        <v>800</v>
      </c>
      <c r="J24" s="65">
        <v>800</v>
      </c>
      <c r="K24" s="65">
        <v>800</v>
      </c>
      <c r="L24" s="99">
        <v>800</v>
      </c>
    </row>
    <row r="25" spans="2:12" s="8" customFormat="1" ht="18" customHeight="1" thickBot="1" x14ac:dyDescent="0.3">
      <c r="B25" s="95" t="s">
        <v>112</v>
      </c>
      <c r="C25" s="65">
        <f>C14*$C$5</f>
        <v>41.162449455299033</v>
      </c>
      <c r="D25" s="65">
        <f t="shared" ref="D25:L25" si="6">D14*$C$5</f>
        <v>41.162449455299033</v>
      </c>
      <c r="E25" s="65">
        <f t="shared" si="6"/>
        <v>41.162449455299033</v>
      </c>
      <c r="F25" s="65">
        <f t="shared" si="6"/>
        <v>41.162449455299033</v>
      </c>
      <c r="G25" s="65">
        <f t="shared" si="6"/>
        <v>41.162449455299033</v>
      </c>
      <c r="H25" s="65">
        <f t="shared" si="6"/>
        <v>41.162449455299033</v>
      </c>
      <c r="I25" s="65">
        <f t="shared" si="6"/>
        <v>41.162449455299033</v>
      </c>
      <c r="J25" s="65">
        <f t="shared" si="6"/>
        <v>41.162449455299033</v>
      </c>
      <c r="K25" s="65">
        <f t="shared" si="6"/>
        <v>41.162449455299033</v>
      </c>
      <c r="L25" s="99">
        <f t="shared" si="6"/>
        <v>41.162449455299033</v>
      </c>
    </row>
    <row r="26" spans="2:12" s="8" customFormat="1" ht="18" customHeight="1" thickTop="1" thickBot="1" x14ac:dyDescent="0.3">
      <c r="B26" s="100" t="s">
        <v>113</v>
      </c>
      <c r="C26" s="101">
        <f t="shared" ref="C26:L26" si="7">SUM(C21:C25)</f>
        <v>89841.162449455296</v>
      </c>
      <c r="D26" s="101">
        <f t="shared" si="7"/>
        <v>15841.1624494553</v>
      </c>
      <c r="E26" s="101">
        <f t="shared" si="7"/>
        <v>15841.1624494553</v>
      </c>
      <c r="F26" s="101">
        <f t="shared" si="7"/>
        <v>15841.1624494553</v>
      </c>
      <c r="G26" s="101">
        <f t="shared" si="7"/>
        <v>15841.1624494553</v>
      </c>
      <c r="H26" s="101">
        <f t="shared" si="7"/>
        <v>15841.1624494553</v>
      </c>
      <c r="I26" s="101">
        <f t="shared" si="7"/>
        <v>15841.1624494553</v>
      </c>
      <c r="J26" s="101">
        <f t="shared" si="7"/>
        <v>15841.1624494553</v>
      </c>
      <c r="K26" s="101">
        <f t="shared" si="7"/>
        <v>15841.1624494553</v>
      </c>
      <c r="L26" s="102">
        <f t="shared" si="7"/>
        <v>15841.1624494553</v>
      </c>
    </row>
    <row r="27" spans="2:12" s="8" customFormat="1" ht="13.5" customHeight="1" thickBot="1" x14ac:dyDescent="0.3">
      <c r="B27" s="69"/>
      <c r="C27" s="70"/>
      <c r="D27" s="70"/>
      <c r="E27" s="70"/>
      <c r="F27" s="70"/>
      <c r="G27" s="70"/>
      <c r="H27" s="70"/>
      <c r="I27" s="70"/>
      <c r="J27" s="70"/>
      <c r="K27" s="70"/>
      <c r="L27" s="70"/>
    </row>
    <row r="28" spans="2:12" s="8" customFormat="1" x14ac:dyDescent="0.25">
      <c r="B28" s="326" t="s">
        <v>114</v>
      </c>
      <c r="C28" s="324" t="s">
        <v>92</v>
      </c>
      <c r="D28" s="324" t="s">
        <v>93</v>
      </c>
      <c r="E28" s="324" t="s">
        <v>94</v>
      </c>
      <c r="F28" s="324" t="s">
        <v>95</v>
      </c>
      <c r="G28" s="324" t="s">
        <v>96</v>
      </c>
      <c r="H28" s="324" t="s">
        <v>97</v>
      </c>
      <c r="I28" s="324" t="s">
        <v>98</v>
      </c>
      <c r="J28" s="324" t="s">
        <v>99</v>
      </c>
      <c r="K28" s="324" t="s">
        <v>100</v>
      </c>
      <c r="L28" s="349" t="s">
        <v>101</v>
      </c>
    </row>
    <row r="29" spans="2:12" s="8" customFormat="1" ht="15.45" customHeight="1" thickBot="1" x14ac:dyDescent="0.3">
      <c r="B29" s="327"/>
      <c r="C29" s="325"/>
      <c r="D29" s="325"/>
      <c r="E29" s="325"/>
      <c r="F29" s="325"/>
      <c r="G29" s="325"/>
      <c r="H29" s="325"/>
      <c r="I29" s="325"/>
      <c r="J29" s="325"/>
      <c r="K29" s="325"/>
      <c r="L29" s="350"/>
    </row>
    <row r="30" spans="2:12" s="8" customFormat="1" ht="18" customHeight="1" thickBot="1" x14ac:dyDescent="0.3">
      <c r="B30" s="94" t="s">
        <v>115</v>
      </c>
      <c r="C30" s="63">
        <v>50000</v>
      </c>
      <c r="D30" s="63">
        <v>50000</v>
      </c>
      <c r="E30" s="63">
        <v>50000</v>
      </c>
      <c r="F30" s="63">
        <v>50000</v>
      </c>
      <c r="G30" s="63">
        <v>50000</v>
      </c>
      <c r="H30" s="63">
        <v>50000</v>
      </c>
      <c r="I30" s="63">
        <v>50000</v>
      </c>
      <c r="J30" s="63">
        <v>50000</v>
      </c>
      <c r="K30" s="63">
        <v>50000</v>
      </c>
      <c r="L30" s="93">
        <v>50000</v>
      </c>
    </row>
    <row r="31" spans="2:12" s="8" customFormat="1" ht="18" customHeight="1" thickTop="1" thickBot="1" x14ac:dyDescent="0.3">
      <c r="B31" s="66" t="s">
        <v>116</v>
      </c>
      <c r="C31" s="67">
        <f t="shared" ref="C31:L31" si="8">SUM(C30:C30)</f>
        <v>50000</v>
      </c>
      <c r="D31" s="67">
        <f t="shared" si="8"/>
        <v>50000</v>
      </c>
      <c r="E31" s="67">
        <f t="shared" si="8"/>
        <v>50000</v>
      </c>
      <c r="F31" s="67">
        <f t="shared" si="8"/>
        <v>50000</v>
      </c>
      <c r="G31" s="67">
        <f t="shared" si="8"/>
        <v>50000</v>
      </c>
      <c r="H31" s="67">
        <f t="shared" si="8"/>
        <v>50000</v>
      </c>
      <c r="I31" s="67">
        <f t="shared" si="8"/>
        <v>50000</v>
      </c>
      <c r="J31" s="67">
        <f t="shared" si="8"/>
        <v>50000</v>
      </c>
      <c r="K31" s="67">
        <f t="shared" si="8"/>
        <v>50000</v>
      </c>
      <c r="L31" s="68">
        <f t="shared" si="8"/>
        <v>50000</v>
      </c>
    </row>
    <row r="32" spans="2:12" ht="18" customHeight="1" thickBot="1" x14ac:dyDescent="0.75">
      <c r="C32" s="71"/>
      <c r="D32" s="71"/>
      <c r="E32" s="71"/>
      <c r="F32" s="71"/>
      <c r="G32" s="71"/>
      <c r="H32" s="71"/>
      <c r="I32" s="71"/>
      <c r="J32" s="71"/>
      <c r="K32" s="71"/>
      <c r="L32" s="71"/>
    </row>
    <row r="33" spans="2:12" x14ac:dyDescent="0.7">
      <c r="B33" s="72" t="s">
        <v>117</v>
      </c>
      <c r="C33" s="73"/>
      <c r="D33" s="73"/>
      <c r="E33" s="73"/>
      <c r="F33" s="73"/>
      <c r="G33" s="73"/>
      <c r="H33" s="73"/>
      <c r="I33" s="73"/>
      <c r="J33" s="73"/>
      <c r="K33" s="73"/>
      <c r="L33" s="74"/>
    </row>
    <row r="34" spans="2:12" s="8" customFormat="1" ht="16.2" customHeight="1" x14ac:dyDescent="0.25">
      <c r="B34" s="75" t="s">
        <v>106</v>
      </c>
      <c r="C34" s="76">
        <f t="shared" ref="C34:L34" si="9">C17</f>
        <v>3430.2041212749195</v>
      </c>
      <c r="D34" s="76">
        <f t="shared" si="9"/>
        <v>3430.2041212749195</v>
      </c>
      <c r="E34" s="76">
        <f t="shared" si="9"/>
        <v>3430.2041212749195</v>
      </c>
      <c r="F34" s="76">
        <f t="shared" si="9"/>
        <v>3430.2041212749195</v>
      </c>
      <c r="G34" s="76">
        <f t="shared" si="9"/>
        <v>3430.2041212749195</v>
      </c>
      <c r="H34" s="76">
        <f t="shared" si="9"/>
        <v>3430.2041212749195</v>
      </c>
      <c r="I34" s="76">
        <f t="shared" si="9"/>
        <v>3430.2041212749195</v>
      </c>
      <c r="J34" s="76">
        <f t="shared" si="9"/>
        <v>3430.2041212749195</v>
      </c>
      <c r="K34" s="76">
        <f t="shared" si="9"/>
        <v>3430.2041212749195</v>
      </c>
      <c r="L34" s="77">
        <f t="shared" si="9"/>
        <v>3430.2041212749195</v>
      </c>
    </row>
    <row r="35" spans="2:12" s="8" customFormat="1" ht="16.2" customHeight="1" x14ac:dyDescent="0.25">
      <c r="B35" s="75" t="s">
        <v>113</v>
      </c>
      <c r="C35" s="76">
        <f t="shared" ref="C35:L35" si="10">-C26</f>
        <v>-89841.162449455296</v>
      </c>
      <c r="D35" s="76">
        <f t="shared" si="10"/>
        <v>-15841.1624494553</v>
      </c>
      <c r="E35" s="76">
        <f t="shared" si="10"/>
        <v>-15841.1624494553</v>
      </c>
      <c r="F35" s="76">
        <f t="shared" si="10"/>
        <v>-15841.1624494553</v>
      </c>
      <c r="G35" s="76">
        <f t="shared" si="10"/>
        <v>-15841.1624494553</v>
      </c>
      <c r="H35" s="76">
        <f t="shared" si="10"/>
        <v>-15841.1624494553</v>
      </c>
      <c r="I35" s="76">
        <f t="shared" si="10"/>
        <v>-15841.1624494553</v>
      </c>
      <c r="J35" s="76">
        <f t="shared" si="10"/>
        <v>-15841.1624494553</v>
      </c>
      <c r="K35" s="76">
        <f t="shared" si="10"/>
        <v>-15841.1624494553</v>
      </c>
      <c r="L35" s="77">
        <f t="shared" si="10"/>
        <v>-15841.1624494553</v>
      </c>
    </row>
    <row r="36" spans="2:12" s="8" customFormat="1" ht="16.2" customHeight="1" thickBot="1" x14ac:dyDescent="0.3">
      <c r="B36" s="75" t="s">
        <v>115</v>
      </c>
      <c r="C36" s="76">
        <f t="shared" ref="C36:I36" si="11">-C31</f>
        <v>-50000</v>
      </c>
      <c r="D36" s="76">
        <f t="shared" si="11"/>
        <v>-50000</v>
      </c>
      <c r="E36" s="76">
        <f t="shared" si="11"/>
        <v>-50000</v>
      </c>
      <c r="F36" s="76">
        <f t="shared" si="11"/>
        <v>-50000</v>
      </c>
      <c r="G36" s="76">
        <f t="shared" si="11"/>
        <v>-50000</v>
      </c>
      <c r="H36" s="76">
        <f t="shared" si="11"/>
        <v>-50000</v>
      </c>
      <c r="I36" s="76">
        <f t="shared" si="11"/>
        <v>-50000</v>
      </c>
      <c r="J36" s="76">
        <f t="shared" ref="J36:L36" si="12">-J31</f>
        <v>-50000</v>
      </c>
      <c r="K36" s="76">
        <f t="shared" si="12"/>
        <v>-50000</v>
      </c>
      <c r="L36" s="77">
        <f t="shared" si="12"/>
        <v>-50000</v>
      </c>
    </row>
    <row r="37" spans="2:12" s="8" customFormat="1" ht="39.6" customHeight="1" thickTop="1" thickBot="1" x14ac:dyDescent="0.3">
      <c r="B37" s="78" t="s">
        <v>118</v>
      </c>
      <c r="C37" s="79">
        <f t="shared" ref="C37:H37" si="13">C34+C35+C36</f>
        <v>-136410.95832818036</v>
      </c>
      <c r="D37" s="79">
        <f t="shared" si="13"/>
        <v>-62410.958328180379</v>
      </c>
      <c r="E37" s="79">
        <f t="shared" si="13"/>
        <v>-62410.958328180379</v>
      </c>
      <c r="F37" s="79">
        <f t="shared" si="13"/>
        <v>-62410.958328180379</v>
      </c>
      <c r="G37" s="79">
        <f t="shared" si="13"/>
        <v>-62410.958328180379</v>
      </c>
      <c r="H37" s="79">
        <f t="shared" si="13"/>
        <v>-62410.958328180379</v>
      </c>
      <c r="I37" s="79">
        <f>I34+I35+I36</f>
        <v>-62410.958328180379</v>
      </c>
      <c r="J37" s="79">
        <f t="shared" ref="J37:L37" si="14">J34+J35+J36</f>
        <v>-62410.958328180379</v>
      </c>
      <c r="K37" s="79">
        <f t="shared" si="14"/>
        <v>-62410.958328180379</v>
      </c>
      <c r="L37" s="80">
        <f t="shared" si="14"/>
        <v>-62410.958328180379</v>
      </c>
    </row>
    <row r="38" spans="2:12" s="8" customFormat="1" ht="16.2" customHeight="1" thickTop="1" x14ac:dyDescent="0.25">
      <c r="B38" s="81" t="s">
        <v>119</v>
      </c>
      <c r="C38" s="76">
        <f t="shared" ref="C38:I38" si="15">SUM(C34:C36)</f>
        <v>-136410.95832818036</v>
      </c>
      <c r="D38" s="76">
        <f t="shared" si="15"/>
        <v>-62410.958328180379</v>
      </c>
      <c r="E38" s="76">
        <f t="shared" si="15"/>
        <v>-62410.958328180379</v>
      </c>
      <c r="F38" s="76">
        <f t="shared" si="15"/>
        <v>-62410.958328180379</v>
      </c>
      <c r="G38" s="76">
        <f t="shared" si="15"/>
        <v>-62410.958328180379</v>
      </c>
      <c r="H38" s="76">
        <f t="shared" si="15"/>
        <v>-62410.958328180379</v>
      </c>
      <c r="I38" s="76">
        <f t="shared" si="15"/>
        <v>-62410.958328180379</v>
      </c>
      <c r="J38" s="76">
        <f t="shared" ref="J38:L38" si="16">SUM(J34:J36)</f>
        <v>-62410.958328180379</v>
      </c>
      <c r="K38" s="76">
        <f t="shared" si="16"/>
        <v>-62410.958328180379</v>
      </c>
      <c r="L38" s="77">
        <f t="shared" si="16"/>
        <v>-62410.958328180379</v>
      </c>
    </row>
    <row r="39" spans="2:12" s="8" customFormat="1" ht="16.2" customHeight="1" x14ac:dyDescent="0.25">
      <c r="B39" s="81" t="s">
        <v>120</v>
      </c>
      <c r="C39" s="76">
        <f t="shared" ref="C39:I39" si="17">IF(C38&lt;0,0,C38*$C$9)</f>
        <v>0</v>
      </c>
      <c r="D39" s="76">
        <f t="shared" si="17"/>
        <v>0</v>
      </c>
      <c r="E39" s="76">
        <f t="shared" si="17"/>
        <v>0</v>
      </c>
      <c r="F39" s="76">
        <f t="shared" si="17"/>
        <v>0</v>
      </c>
      <c r="G39" s="76">
        <f t="shared" si="17"/>
        <v>0</v>
      </c>
      <c r="H39" s="76">
        <f t="shared" si="17"/>
        <v>0</v>
      </c>
      <c r="I39" s="76">
        <f t="shared" si="17"/>
        <v>0</v>
      </c>
      <c r="J39" s="76">
        <f t="shared" ref="J39:L39" si="18">IF(J38&lt;0,0,J38*$C$9)</f>
        <v>0</v>
      </c>
      <c r="K39" s="76">
        <f t="shared" si="18"/>
        <v>0</v>
      </c>
      <c r="L39" s="77">
        <f t="shared" si="18"/>
        <v>0</v>
      </c>
    </row>
    <row r="40" spans="2:12" s="8" customFormat="1" ht="16.2" customHeight="1" thickBot="1" x14ac:dyDescent="0.3">
      <c r="B40" s="82" t="s">
        <v>121</v>
      </c>
      <c r="C40" s="83">
        <f t="shared" ref="C40:I40" si="19">C38-C39</f>
        <v>-136410.95832818036</v>
      </c>
      <c r="D40" s="83">
        <f t="shared" si="19"/>
        <v>-62410.958328180379</v>
      </c>
      <c r="E40" s="83">
        <f t="shared" si="19"/>
        <v>-62410.958328180379</v>
      </c>
      <c r="F40" s="83">
        <f t="shared" si="19"/>
        <v>-62410.958328180379</v>
      </c>
      <c r="G40" s="83">
        <f t="shared" si="19"/>
        <v>-62410.958328180379</v>
      </c>
      <c r="H40" s="83">
        <f t="shared" si="19"/>
        <v>-62410.958328180379</v>
      </c>
      <c r="I40" s="83">
        <f t="shared" si="19"/>
        <v>-62410.958328180379</v>
      </c>
      <c r="J40" s="83">
        <f t="shared" ref="J40:L40" si="20">J38-J39</f>
        <v>-62410.958328180379</v>
      </c>
      <c r="K40" s="83">
        <f t="shared" si="20"/>
        <v>-62410.958328180379</v>
      </c>
      <c r="L40" s="84">
        <f t="shared" si="20"/>
        <v>-62410.958328180379</v>
      </c>
    </row>
    <row r="41" spans="2:12" ht="20.399999999999999" thickBot="1" x14ac:dyDescent="0.75">
      <c r="B41" s="85">
        <v>0.1</v>
      </c>
      <c r="C41" s="86">
        <f>NPV(B41,C40:L40)</f>
        <v>-450761.04885156994</v>
      </c>
      <c r="D41" s="87"/>
      <c r="E41" s="87"/>
      <c r="F41" s="87"/>
      <c r="G41" s="87"/>
      <c r="H41" s="87"/>
      <c r="I41" s="87"/>
      <c r="J41" s="87"/>
      <c r="K41" s="87"/>
      <c r="L41" s="88"/>
    </row>
    <row r="42" spans="2:12" x14ac:dyDescent="0.7">
      <c r="B42" s="89" t="s">
        <v>122</v>
      </c>
      <c r="C42" s="90">
        <f>SUM(C35:C36)</f>
        <v>-139841.1624494553</v>
      </c>
      <c r="D42" s="90">
        <f>SUM(D35:D36)</f>
        <v>-65841.162449455296</v>
      </c>
      <c r="E42" s="90">
        <f t="shared" ref="E42:I42" si="21">SUM(E35:E36)</f>
        <v>-65841.162449455296</v>
      </c>
      <c r="F42" s="90">
        <f t="shared" si="21"/>
        <v>-65841.162449455296</v>
      </c>
      <c r="G42" s="90">
        <f t="shared" si="21"/>
        <v>-65841.162449455296</v>
      </c>
      <c r="H42" s="90">
        <f t="shared" si="21"/>
        <v>-65841.162449455296</v>
      </c>
      <c r="I42" s="90">
        <f t="shared" si="21"/>
        <v>-65841.162449455296</v>
      </c>
      <c r="J42" s="90">
        <f t="shared" ref="J42:L42" si="22">SUM(J35:J36)</f>
        <v>-65841.162449455296</v>
      </c>
      <c r="K42" s="90">
        <f t="shared" si="22"/>
        <v>-65841.162449455296</v>
      </c>
      <c r="L42" s="90">
        <f t="shared" si="22"/>
        <v>-65841.162449455296</v>
      </c>
    </row>
    <row r="43" spans="2:12" x14ac:dyDescent="0.7">
      <c r="C43" s="91"/>
    </row>
  </sheetData>
  <sheetProtection algorithmName="SHA-512" hashValue="cNRHRWGruI3jfIVg7BU3V5ruYTVtkDZ4177YHZ+yx/oWmM9oHnyi32vFUrRSDqhRgg/PUZrhkjVfuaPwupQRZg==" saltValue="RfUBuXIZ5avitSgYsNiOzw==" spinCount="100000" sheet="1" formatCells="0" formatColumns="0" formatRows="0" insertColumns="0" insertRows="0"/>
  <mergeCells count="39">
    <mergeCell ref="K11:K12"/>
    <mergeCell ref="L11:L12"/>
    <mergeCell ref="J11:J12"/>
    <mergeCell ref="K28:K29"/>
    <mergeCell ref="L28:L29"/>
    <mergeCell ref="K19:K20"/>
    <mergeCell ref="L19:L20"/>
    <mergeCell ref="D19:D20"/>
    <mergeCell ref="C19:C20"/>
    <mergeCell ref="J19:J20"/>
    <mergeCell ref="J28:J29"/>
    <mergeCell ref="I19:I20"/>
    <mergeCell ref="G11:G12"/>
    <mergeCell ref="G28:G29"/>
    <mergeCell ref="H11:H12"/>
    <mergeCell ref="I11:I12"/>
    <mergeCell ref="F11:F12"/>
    <mergeCell ref="F19:F20"/>
    <mergeCell ref="H28:H29"/>
    <mergeCell ref="F28:F29"/>
    <mergeCell ref="I28:I29"/>
    <mergeCell ref="G19:G20"/>
    <mergeCell ref="H19:H20"/>
    <mergeCell ref="D11:D12"/>
    <mergeCell ref="C11:C12"/>
    <mergeCell ref="B28:B29"/>
    <mergeCell ref="D3:E3"/>
    <mergeCell ref="D4:E4"/>
    <mergeCell ref="B5:B7"/>
    <mergeCell ref="C5:C7"/>
    <mergeCell ref="D5:E7"/>
    <mergeCell ref="D9:E9"/>
    <mergeCell ref="B11:B12"/>
    <mergeCell ref="E11:E12"/>
    <mergeCell ref="B19:B20"/>
    <mergeCell ref="E19:E20"/>
    <mergeCell ref="C28:C29"/>
    <mergeCell ref="D28:D29"/>
    <mergeCell ref="E28:E29"/>
  </mergeCells>
  <phoneticPr fontId="4" type="noConversion"/>
  <pageMargins left="0.78740157499999996" right="0.78740157499999996" top="0.984251969" bottom="0.984251969" header="0.49212598499999999" footer="0.49212598499999999"/>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71"/>
  <sheetViews>
    <sheetView topLeftCell="B1" zoomScale="70" zoomScaleNormal="70" workbookViewId="0">
      <selection activeCell="C21" sqref="C21:C28"/>
    </sheetView>
  </sheetViews>
  <sheetFormatPr defaultColWidth="0" defaultRowHeight="13.2" x14ac:dyDescent="0.25"/>
  <cols>
    <col min="1" max="1" width="0" style="1" hidden="1" customWidth="1"/>
    <col min="2" max="2" width="4.44140625" style="1" customWidth="1"/>
    <col min="3" max="3" width="32.6640625" customWidth="1"/>
    <col min="4" max="4" width="38" customWidth="1"/>
    <col min="5" max="5" width="26.88671875" customWidth="1"/>
    <col min="6" max="6" width="21.33203125" customWidth="1"/>
    <col min="7" max="10" width="10.88671875" customWidth="1"/>
    <col min="11" max="11" width="17.5546875" bestFit="1" customWidth="1"/>
    <col min="12" max="12" width="9.109375" style="1" customWidth="1"/>
    <col min="13" max="13" width="29.33203125" bestFit="1" customWidth="1"/>
    <col min="14" max="14" width="9.109375" customWidth="1"/>
    <col min="15" max="15" width="21" customWidth="1"/>
    <col min="16" max="16" width="51.88671875" customWidth="1"/>
    <col min="17" max="17" width="9.109375" style="1" customWidth="1"/>
    <col min="18" max="34" width="9.109375" style="1" hidden="1" customWidth="1"/>
    <col min="35" max="16384" width="9.109375" hidden="1"/>
  </cols>
  <sheetData>
    <row r="1" spans="3:16" s="1" customFormat="1" ht="13.8" thickBot="1" x14ac:dyDescent="0.3"/>
    <row r="2" spans="3:16" ht="34.5" customHeight="1" thickBot="1" x14ac:dyDescent="0.3">
      <c r="C2" s="104" t="s">
        <v>123</v>
      </c>
      <c r="D2" s="107" t="s">
        <v>82</v>
      </c>
      <c r="E2" s="230" t="s">
        <v>124</v>
      </c>
      <c r="F2" s="108" t="s">
        <v>125</v>
      </c>
      <c r="G2" s="109" t="s">
        <v>11</v>
      </c>
      <c r="H2" s="110" t="s">
        <v>126</v>
      </c>
      <c r="I2" s="111" t="s">
        <v>11</v>
      </c>
      <c r="J2" s="112" t="s">
        <v>127</v>
      </c>
      <c r="K2" s="109" t="s">
        <v>11</v>
      </c>
      <c r="M2" s="1"/>
      <c r="N2" s="1"/>
      <c r="O2" s="1"/>
      <c r="P2" s="1"/>
    </row>
    <row r="3" spans="3:16" ht="30" customHeight="1" x14ac:dyDescent="0.25">
      <c r="C3" s="356" t="s">
        <v>128</v>
      </c>
      <c r="D3" s="225" t="s">
        <v>129</v>
      </c>
      <c r="E3" s="228">
        <v>1.3599999999999999E-2</v>
      </c>
      <c r="F3" s="113">
        <v>70.8</v>
      </c>
      <c r="G3" s="114" t="s">
        <v>130</v>
      </c>
      <c r="H3" s="115">
        <f>3.9/1000</f>
        <v>3.8999999999999998E-3</v>
      </c>
      <c r="I3" s="114" t="s">
        <v>131</v>
      </c>
      <c r="J3" s="115">
        <f>0.001*3.9</f>
        <v>3.8999999999999998E-3</v>
      </c>
      <c r="K3" s="191" t="s">
        <v>132</v>
      </c>
      <c r="M3" s="369" t="s">
        <v>133</v>
      </c>
      <c r="N3" s="370"/>
      <c r="O3" s="370"/>
      <c r="P3" s="371"/>
    </row>
    <row r="4" spans="3:16" ht="30" customHeight="1" x14ac:dyDescent="0.25">
      <c r="C4" s="357"/>
      <c r="D4" s="226" t="s">
        <v>15</v>
      </c>
      <c r="E4" s="154">
        <v>4.1399999999999999E-2</v>
      </c>
      <c r="F4" s="116">
        <v>73.900000000000006</v>
      </c>
      <c r="G4" s="117" t="s">
        <v>130</v>
      </c>
      <c r="H4" s="118">
        <f>0.001*3.9</f>
        <v>3.8999999999999998E-3</v>
      </c>
      <c r="I4" s="117" t="s">
        <v>131</v>
      </c>
      <c r="J4" s="118">
        <f>0.001*3.9</f>
        <v>3.8999999999999998E-3</v>
      </c>
      <c r="K4" s="192" t="s">
        <v>132</v>
      </c>
      <c r="M4" s="127" t="s">
        <v>12</v>
      </c>
      <c r="N4" s="125">
        <v>0.84799999999999998</v>
      </c>
      <c r="O4" s="126" t="s">
        <v>134</v>
      </c>
      <c r="P4" s="128" t="s">
        <v>135</v>
      </c>
    </row>
    <row r="5" spans="3:16" ht="30" customHeight="1" x14ac:dyDescent="0.25">
      <c r="C5" s="357"/>
      <c r="D5" s="226" t="s">
        <v>136</v>
      </c>
      <c r="E5" s="154">
        <v>1.3599999999999999E-2</v>
      </c>
      <c r="F5" s="119">
        <v>67.7</v>
      </c>
      <c r="G5" s="117" t="s">
        <v>130</v>
      </c>
      <c r="H5" s="118">
        <f>0.001*18</f>
        <v>1.8000000000000002E-2</v>
      </c>
      <c r="I5" s="117" t="s">
        <v>131</v>
      </c>
      <c r="J5" s="120">
        <v>0</v>
      </c>
      <c r="K5" s="193">
        <v>0</v>
      </c>
      <c r="M5" s="127" t="s">
        <v>137</v>
      </c>
      <c r="N5" s="125">
        <v>0.79400000000000004</v>
      </c>
      <c r="O5" s="126" t="s">
        <v>134</v>
      </c>
      <c r="P5" s="129" t="s">
        <v>138</v>
      </c>
    </row>
    <row r="6" spans="3:16" ht="30" customHeight="1" x14ac:dyDescent="0.25">
      <c r="C6" s="357"/>
      <c r="D6" s="226" t="s">
        <v>12</v>
      </c>
      <c r="E6" s="154">
        <v>4.2500000000000003E-2</v>
      </c>
      <c r="F6" s="116">
        <v>68.900000000000006</v>
      </c>
      <c r="G6" s="291" t="s">
        <v>130</v>
      </c>
      <c r="H6" s="118">
        <f>0.001*23.3</f>
        <v>2.3300000000000001E-2</v>
      </c>
      <c r="I6" s="117" t="s">
        <v>131</v>
      </c>
      <c r="J6" s="118">
        <f>0.001*6</f>
        <v>6.0000000000000001E-3</v>
      </c>
      <c r="K6" s="192" t="s">
        <v>132</v>
      </c>
      <c r="M6" s="130" t="s">
        <v>15</v>
      </c>
      <c r="N6" s="136">
        <v>0.84109999999999996</v>
      </c>
      <c r="O6" s="126" t="s">
        <v>134</v>
      </c>
      <c r="P6" s="129" t="s">
        <v>138</v>
      </c>
    </row>
    <row r="7" spans="3:16" ht="30" customHeight="1" x14ac:dyDescent="0.25">
      <c r="C7" s="357"/>
      <c r="D7" s="226" t="s">
        <v>142</v>
      </c>
      <c r="E7" s="164">
        <v>4.48E-2</v>
      </c>
      <c r="F7" s="119">
        <v>63.1</v>
      </c>
      <c r="G7" s="117" t="s">
        <v>130</v>
      </c>
      <c r="H7" s="121">
        <v>6.1999999999999998E-3</v>
      </c>
      <c r="I7" s="117" t="s">
        <v>131</v>
      </c>
      <c r="J7" s="121">
        <v>2.0000000000000001E-4</v>
      </c>
      <c r="K7" s="192" t="s">
        <v>132</v>
      </c>
      <c r="M7" s="130" t="s">
        <v>129</v>
      </c>
      <c r="N7" s="125">
        <v>0.87</v>
      </c>
      <c r="O7" s="126" t="s">
        <v>134</v>
      </c>
      <c r="P7" s="135" t="s">
        <v>140</v>
      </c>
    </row>
    <row r="8" spans="3:16" ht="30" customHeight="1" thickBot="1" x14ac:dyDescent="0.3">
      <c r="C8" s="357"/>
      <c r="D8" s="227" t="s">
        <v>141</v>
      </c>
      <c r="E8" s="229">
        <v>4.2000000000000003E-2</v>
      </c>
      <c r="F8" s="122">
        <v>71.5</v>
      </c>
      <c r="G8" s="123" t="s">
        <v>130</v>
      </c>
      <c r="H8" s="124">
        <f>0.001*3.9</f>
        <v>3.8999999999999998E-3</v>
      </c>
      <c r="I8" s="123" t="s">
        <v>131</v>
      </c>
      <c r="J8" s="124">
        <f>0.001*3.9</f>
        <v>3.8999999999999998E-3</v>
      </c>
      <c r="K8" s="194" t="s">
        <v>132</v>
      </c>
      <c r="M8" s="130" t="s">
        <v>142</v>
      </c>
      <c r="N8" s="125">
        <v>2.1000000000000001E-4</v>
      </c>
      <c r="O8" s="126" t="s">
        <v>134</v>
      </c>
      <c r="P8" s="129" t="s">
        <v>138</v>
      </c>
    </row>
    <row r="9" spans="3:16" ht="30" customHeight="1" thickBot="1" x14ac:dyDescent="0.3">
      <c r="C9" s="358" t="s">
        <v>143</v>
      </c>
      <c r="D9" s="225" t="s">
        <v>12</v>
      </c>
      <c r="E9" s="228">
        <v>4.2500000000000003E-2</v>
      </c>
      <c r="F9" s="113">
        <v>69.3</v>
      </c>
      <c r="G9" s="114" t="s">
        <v>130</v>
      </c>
      <c r="H9" s="115">
        <f>10/1000</f>
        <v>0.01</v>
      </c>
      <c r="I9" s="114" t="s">
        <v>131</v>
      </c>
      <c r="J9" s="114">
        <f>0.6/1000</f>
        <v>5.9999999999999995E-4</v>
      </c>
      <c r="K9" s="191" t="s">
        <v>132</v>
      </c>
      <c r="M9" s="131" t="s">
        <v>141</v>
      </c>
      <c r="N9" s="132">
        <v>0.80189999999999995</v>
      </c>
      <c r="O9" s="133" t="s">
        <v>134</v>
      </c>
      <c r="P9" s="134" t="s">
        <v>138</v>
      </c>
    </row>
    <row r="10" spans="3:16" ht="30" customHeight="1" thickBot="1" x14ac:dyDescent="0.3">
      <c r="C10" s="359"/>
      <c r="D10" s="226" t="s">
        <v>15</v>
      </c>
      <c r="E10" s="154">
        <v>4.1399999999999999E-2</v>
      </c>
      <c r="F10" s="116">
        <v>74.099999999999994</v>
      </c>
      <c r="G10" s="117" t="s">
        <v>130</v>
      </c>
      <c r="H10" s="118">
        <f>10/1000</f>
        <v>0.01</v>
      </c>
      <c r="I10" s="117" t="s">
        <v>131</v>
      </c>
      <c r="J10" s="117">
        <f>0.6/1000</f>
        <v>5.9999999999999995E-4</v>
      </c>
      <c r="K10" s="192" t="s">
        <v>132</v>
      </c>
      <c r="M10" s="1"/>
      <c r="N10" s="1"/>
      <c r="O10" s="1"/>
      <c r="P10" s="1"/>
    </row>
    <row r="11" spans="3:16" ht="30" customHeight="1" x14ac:dyDescent="0.25">
      <c r="C11" s="359"/>
      <c r="D11" s="226" t="s">
        <v>129</v>
      </c>
      <c r="E11" s="154">
        <v>1.3599999999999999E-2</v>
      </c>
      <c r="F11" s="116">
        <v>70.8</v>
      </c>
      <c r="G11" s="117" t="s">
        <v>130</v>
      </c>
      <c r="H11" s="118">
        <f>10/1000</f>
        <v>0.01</v>
      </c>
      <c r="I11" s="117" t="s">
        <v>131</v>
      </c>
      <c r="J11" s="117">
        <f>0.6/1000</f>
        <v>5.9999999999999995E-4</v>
      </c>
      <c r="K11" s="192" t="s">
        <v>132</v>
      </c>
      <c r="M11" s="369" t="s">
        <v>144</v>
      </c>
      <c r="N11" s="370"/>
      <c r="O11" s="371"/>
      <c r="P11" s="210" t="s">
        <v>145</v>
      </c>
    </row>
    <row r="12" spans="3:16" ht="30" customHeight="1" thickBot="1" x14ac:dyDescent="0.3">
      <c r="C12" s="359"/>
      <c r="D12" s="226" t="s">
        <v>136</v>
      </c>
      <c r="E12" s="154">
        <v>1.3599999999999999E-2</v>
      </c>
      <c r="F12" s="116">
        <v>79.599999999999994</v>
      </c>
      <c r="G12" s="117" t="s">
        <v>130</v>
      </c>
      <c r="H12" s="118">
        <f>10/1000</f>
        <v>0.01</v>
      </c>
      <c r="I12" s="117" t="s">
        <v>131</v>
      </c>
      <c r="J12" s="117">
        <f>0.6/1000</f>
        <v>5.9999999999999995E-4</v>
      </c>
      <c r="K12" s="192" t="s">
        <v>132</v>
      </c>
      <c r="M12" s="144" t="s">
        <v>146</v>
      </c>
      <c r="N12" s="106">
        <v>1</v>
      </c>
      <c r="O12" s="145" t="s">
        <v>147</v>
      </c>
      <c r="P12" s="211">
        <f>44/28</f>
        <v>1.5714285714285714</v>
      </c>
    </row>
    <row r="13" spans="3:16" ht="30" customHeight="1" thickBot="1" x14ac:dyDescent="0.3">
      <c r="C13" s="360"/>
      <c r="D13" s="227" t="s">
        <v>139</v>
      </c>
      <c r="E13" s="229">
        <v>4.48E-2</v>
      </c>
      <c r="F13" s="122">
        <v>63.1</v>
      </c>
      <c r="G13" s="123" t="s">
        <v>130</v>
      </c>
      <c r="H13" s="124">
        <f>5/1000</f>
        <v>5.0000000000000001E-3</v>
      </c>
      <c r="I13" s="123" t="s">
        <v>131</v>
      </c>
      <c r="J13" s="137">
        <f>0.1/1000</f>
        <v>1E-4</v>
      </c>
      <c r="K13" s="194" t="s">
        <v>132</v>
      </c>
      <c r="M13" s="144" t="s">
        <v>148</v>
      </c>
      <c r="N13" s="106">
        <v>28</v>
      </c>
      <c r="O13" s="145" t="s">
        <v>147</v>
      </c>
      <c r="P13" s="1"/>
    </row>
    <row r="14" spans="3:16" ht="16.2" thickBot="1" x14ac:dyDescent="0.3">
      <c r="M14" s="146" t="s">
        <v>149</v>
      </c>
      <c r="N14" s="147">
        <v>265</v>
      </c>
      <c r="O14" s="148" t="s">
        <v>147</v>
      </c>
      <c r="P14" s="1"/>
    </row>
    <row r="15" spans="3:16" ht="42" customHeight="1" thickBot="1" x14ac:dyDescent="0.3">
      <c r="C15" s="141" t="s">
        <v>16</v>
      </c>
      <c r="D15" s="142" t="s">
        <v>150</v>
      </c>
      <c r="E15" s="231">
        <f>7.9/1000</f>
        <v>7.9000000000000008E-3</v>
      </c>
      <c r="F15" s="138">
        <f>112000/1000</f>
        <v>112</v>
      </c>
      <c r="G15" s="139" t="s">
        <v>130</v>
      </c>
      <c r="H15" s="143">
        <f>300/1000</f>
        <v>0.3</v>
      </c>
      <c r="I15" s="139" t="s">
        <v>131</v>
      </c>
      <c r="J15" s="140">
        <f>4/1000</f>
        <v>4.0000000000000001E-3</v>
      </c>
      <c r="K15" s="195" t="s">
        <v>132</v>
      </c>
      <c r="M15" s="1"/>
      <c r="N15" s="1"/>
      <c r="O15" s="1"/>
      <c r="P15" s="1"/>
    </row>
    <row r="16" spans="3:16" x14ac:dyDescent="0.25">
      <c r="C16" s="1"/>
      <c r="D16" s="1"/>
      <c r="E16" s="1"/>
      <c r="F16" s="1"/>
      <c r="G16" s="1"/>
      <c r="H16" s="1"/>
      <c r="I16" s="1"/>
      <c r="J16" s="1"/>
      <c r="K16" s="1"/>
      <c r="N16" s="1"/>
      <c r="O16" s="1"/>
      <c r="P16" s="1"/>
    </row>
    <row r="17" spans="3:16" x14ac:dyDescent="0.25">
      <c r="C17" s="1"/>
      <c r="D17" s="1"/>
      <c r="E17" s="1"/>
      <c r="F17" s="1"/>
      <c r="G17" s="1"/>
      <c r="H17" s="1"/>
      <c r="I17" s="1"/>
      <c r="J17" s="1"/>
      <c r="K17" s="1"/>
      <c r="M17" s="1"/>
      <c r="N17" s="1"/>
      <c r="O17" s="1"/>
      <c r="P17" s="1"/>
    </row>
    <row r="18" spans="3:16" x14ac:dyDescent="0.25">
      <c r="C18" s="207" t="s">
        <v>151</v>
      </c>
      <c r="D18" s="1"/>
      <c r="E18" s="1"/>
      <c r="F18" s="1"/>
      <c r="G18" s="1"/>
      <c r="H18" s="1"/>
      <c r="I18" s="1"/>
      <c r="J18" s="1"/>
      <c r="K18" s="1"/>
      <c r="M18" s="1"/>
      <c r="N18" s="1"/>
      <c r="O18" s="1"/>
      <c r="P18" s="1"/>
    </row>
    <row r="19" spans="3:16" x14ac:dyDescent="0.25">
      <c r="C19" s="2" t="s">
        <v>152</v>
      </c>
      <c r="D19" s="372" t="s">
        <v>153</v>
      </c>
      <c r="E19" s="372"/>
      <c r="F19" s="372"/>
      <c r="G19" s="372"/>
      <c r="H19" s="372"/>
      <c r="I19" s="372"/>
      <c r="J19" s="372"/>
      <c r="K19" s="1"/>
      <c r="M19" s="1"/>
      <c r="N19" s="1"/>
      <c r="O19" s="1"/>
      <c r="P19" s="1"/>
    </row>
    <row r="20" spans="3:16" x14ac:dyDescent="0.25">
      <c r="D20" s="151" t="s">
        <v>154</v>
      </c>
      <c r="E20" s="151" t="s">
        <v>155</v>
      </c>
      <c r="F20" s="151" t="s">
        <v>156</v>
      </c>
      <c r="G20" s="151" t="s">
        <v>157</v>
      </c>
      <c r="H20" s="151" t="s">
        <v>21</v>
      </c>
      <c r="I20" s="151" t="s">
        <v>158</v>
      </c>
      <c r="J20" s="151" t="s">
        <v>159</v>
      </c>
      <c r="K20" s="1"/>
      <c r="M20" s="1"/>
      <c r="N20" s="1"/>
      <c r="O20" s="1"/>
      <c r="P20" s="1"/>
    </row>
    <row r="21" spans="3:16" x14ac:dyDescent="0.25">
      <c r="C21" s="150" t="s">
        <v>160</v>
      </c>
      <c r="D21" s="116">
        <v>138</v>
      </c>
      <c r="E21" s="116">
        <v>64</v>
      </c>
      <c r="F21" s="116">
        <v>1.5</v>
      </c>
      <c r="G21" s="116">
        <v>1.5</v>
      </c>
      <c r="H21" s="116">
        <v>9</v>
      </c>
      <c r="I21" s="116">
        <v>5</v>
      </c>
      <c r="J21" s="116">
        <v>18</v>
      </c>
      <c r="K21" s="1"/>
      <c r="M21" s="1"/>
      <c r="N21" s="1"/>
      <c r="O21" s="1"/>
      <c r="P21" s="1"/>
    </row>
    <row r="22" spans="3:16" x14ac:dyDescent="0.25">
      <c r="C22" s="150" t="s">
        <v>7</v>
      </c>
      <c r="D22" s="116">
        <v>126</v>
      </c>
      <c r="E22" s="116">
        <v>52</v>
      </c>
      <c r="F22" s="116">
        <v>1.5</v>
      </c>
      <c r="G22" s="116">
        <v>1.5</v>
      </c>
      <c r="H22" s="116">
        <v>9</v>
      </c>
      <c r="I22" s="116">
        <v>5</v>
      </c>
      <c r="J22" s="116">
        <v>18</v>
      </c>
      <c r="K22" s="1"/>
      <c r="M22" s="1"/>
      <c r="N22" s="1"/>
      <c r="O22" s="1"/>
      <c r="P22" s="1"/>
    </row>
    <row r="23" spans="3:16" x14ac:dyDescent="0.25">
      <c r="C23" s="150" t="s">
        <v>161</v>
      </c>
      <c r="D23" s="116">
        <v>93</v>
      </c>
      <c r="E23" s="116">
        <v>58</v>
      </c>
      <c r="F23" s="116">
        <v>1.5</v>
      </c>
      <c r="G23" s="116">
        <v>1.5</v>
      </c>
      <c r="H23" s="116">
        <v>9</v>
      </c>
      <c r="I23" s="116">
        <v>5</v>
      </c>
      <c r="J23" s="116">
        <v>18</v>
      </c>
      <c r="K23" s="1"/>
      <c r="M23" s="1"/>
      <c r="N23" s="1"/>
      <c r="O23" s="1"/>
      <c r="P23" s="1"/>
    </row>
    <row r="24" spans="3:16" x14ac:dyDescent="0.25">
      <c r="C24" s="150" t="s">
        <v>162</v>
      </c>
      <c r="D24" s="116">
        <v>93</v>
      </c>
      <c r="E24" s="116">
        <v>58</v>
      </c>
      <c r="F24" s="116" t="s">
        <v>163</v>
      </c>
      <c r="G24" s="116" t="s">
        <v>163</v>
      </c>
      <c r="H24" s="116">
        <v>9</v>
      </c>
      <c r="I24" s="116">
        <v>5</v>
      </c>
      <c r="J24" s="116">
        <v>18</v>
      </c>
      <c r="K24" s="1"/>
      <c r="M24" s="1"/>
      <c r="N24" s="1"/>
      <c r="O24" s="1"/>
      <c r="P24" s="1"/>
    </row>
    <row r="25" spans="3:16" x14ac:dyDescent="0.25">
      <c r="C25" s="150" t="s">
        <v>164</v>
      </c>
      <c r="D25" s="116">
        <v>87</v>
      </c>
      <c r="E25" s="116">
        <v>56</v>
      </c>
      <c r="F25" s="116">
        <v>1</v>
      </c>
      <c r="G25" s="116">
        <v>1</v>
      </c>
      <c r="H25" s="116">
        <v>5</v>
      </c>
      <c r="I25" s="116">
        <v>5</v>
      </c>
      <c r="J25" s="116">
        <v>18</v>
      </c>
      <c r="K25" s="1"/>
      <c r="M25" s="1"/>
      <c r="N25" s="1"/>
      <c r="O25" s="1"/>
      <c r="P25" s="1"/>
    </row>
    <row r="26" spans="3:16" x14ac:dyDescent="0.25">
      <c r="C26" s="150" t="s">
        <v>165</v>
      </c>
      <c r="D26" s="116">
        <v>76</v>
      </c>
      <c r="E26" s="116">
        <v>52</v>
      </c>
      <c r="F26" s="116">
        <v>1</v>
      </c>
      <c r="G26" s="116">
        <v>1</v>
      </c>
      <c r="H26" s="116">
        <v>5</v>
      </c>
      <c r="I26" s="116">
        <v>5</v>
      </c>
      <c r="J26" s="116">
        <v>18</v>
      </c>
      <c r="K26" s="1"/>
      <c r="M26" s="1"/>
      <c r="N26" s="1"/>
      <c r="O26" s="1"/>
      <c r="P26" s="1"/>
    </row>
    <row r="27" spans="3:16" x14ac:dyDescent="0.25">
      <c r="C27" s="150" t="s">
        <v>166</v>
      </c>
      <c r="D27" s="116">
        <v>76</v>
      </c>
      <c r="E27" s="116">
        <v>60</v>
      </c>
      <c r="F27" s="116">
        <v>1</v>
      </c>
      <c r="G27" s="116">
        <v>1</v>
      </c>
      <c r="H27" s="116">
        <v>5</v>
      </c>
      <c r="I27" s="116">
        <v>5</v>
      </c>
      <c r="J27" s="116">
        <v>18</v>
      </c>
      <c r="K27" s="1"/>
      <c r="M27" s="1"/>
      <c r="N27" s="1"/>
      <c r="O27" s="1"/>
      <c r="P27" s="1"/>
    </row>
    <row r="28" spans="3:16" x14ac:dyDescent="0.25">
      <c r="C28" s="150" t="s">
        <v>167</v>
      </c>
      <c r="D28" s="116">
        <v>78</v>
      </c>
      <c r="E28" s="116">
        <v>54</v>
      </c>
      <c r="F28" s="116">
        <v>1</v>
      </c>
      <c r="G28" s="116">
        <v>1</v>
      </c>
      <c r="H28" s="116">
        <v>5</v>
      </c>
      <c r="I28" s="116">
        <v>5</v>
      </c>
      <c r="J28" s="116">
        <v>18</v>
      </c>
      <c r="K28" s="1"/>
      <c r="M28" s="1"/>
      <c r="N28" s="1"/>
      <c r="O28" s="1"/>
      <c r="P28" s="1"/>
    </row>
    <row r="29" spans="3:16" x14ac:dyDescent="0.25">
      <c r="C29" s="1"/>
      <c r="D29" s="1"/>
      <c r="E29" s="1"/>
      <c r="F29" s="1"/>
      <c r="G29" s="1"/>
      <c r="H29" s="1"/>
      <c r="I29" s="1"/>
      <c r="J29" s="1"/>
      <c r="K29" s="1"/>
      <c r="M29" s="1"/>
      <c r="N29" s="1"/>
      <c r="O29" s="1"/>
      <c r="P29" s="1"/>
    </row>
    <row r="30" spans="3:16" x14ac:dyDescent="0.25">
      <c r="C30" s="207" t="s">
        <v>151</v>
      </c>
      <c r="D30" s="1"/>
      <c r="E30" s="1"/>
      <c r="F30" s="1"/>
      <c r="G30" s="1"/>
      <c r="H30" s="1"/>
      <c r="I30" s="1"/>
      <c r="J30" s="1"/>
      <c r="K30" s="1"/>
      <c r="M30" s="1"/>
      <c r="N30" s="1"/>
      <c r="O30" s="1"/>
      <c r="P30" s="1"/>
    </row>
    <row r="31" spans="3:16" x14ac:dyDescent="0.25">
      <c r="C31" s="2" t="s">
        <v>168</v>
      </c>
      <c r="D31" s="1"/>
      <c r="E31" s="1"/>
      <c r="F31" s="1"/>
      <c r="G31" s="1"/>
      <c r="H31" s="1"/>
      <c r="I31" s="1"/>
      <c r="J31" s="1"/>
      <c r="K31" s="1"/>
      <c r="M31" s="1"/>
      <c r="N31" s="1"/>
      <c r="O31" s="1"/>
      <c r="P31" s="1"/>
    </row>
    <row r="32" spans="3:16" x14ac:dyDescent="0.25">
      <c r="C32" s="1"/>
      <c r="D32" s="372" t="s">
        <v>169</v>
      </c>
      <c r="E32" s="372"/>
      <c r="F32" s="372"/>
      <c r="G32" s="372"/>
      <c r="H32" s="372"/>
      <c r="I32" s="372"/>
      <c r="J32" s="372"/>
      <c r="K32" s="1"/>
      <c r="M32" s="1"/>
      <c r="N32" s="1"/>
      <c r="O32" s="1"/>
      <c r="P32" s="1"/>
    </row>
    <row r="33" spans="3:16" ht="21.75" customHeight="1" x14ac:dyDescent="0.25">
      <c r="C33" s="1"/>
      <c r="D33" s="151" t="s">
        <v>154</v>
      </c>
      <c r="E33" s="151" t="s">
        <v>170</v>
      </c>
      <c r="F33" s="151" t="s">
        <v>156</v>
      </c>
      <c r="G33" s="151" t="s">
        <v>157</v>
      </c>
      <c r="H33" s="151" t="s">
        <v>21</v>
      </c>
      <c r="I33" s="151" t="s">
        <v>158</v>
      </c>
      <c r="J33" s="151" t="s">
        <v>159</v>
      </c>
      <c r="K33" s="1"/>
      <c r="M33" s="1"/>
      <c r="N33" s="1"/>
      <c r="O33" s="1"/>
      <c r="P33" s="1"/>
    </row>
    <row r="34" spans="3:16" ht="24" customHeight="1" x14ac:dyDescent="0.25">
      <c r="C34" s="150" t="s">
        <v>160</v>
      </c>
      <c r="D34" s="116">
        <v>0.6</v>
      </c>
      <c r="E34" s="116">
        <v>0.4</v>
      </c>
      <c r="F34" s="116">
        <v>0.39</v>
      </c>
      <c r="G34" s="116">
        <v>1.45</v>
      </c>
      <c r="H34" s="116">
        <v>0.35</v>
      </c>
      <c r="I34" s="116">
        <v>0.46</v>
      </c>
      <c r="J34" s="116">
        <v>0.3</v>
      </c>
      <c r="K34" s="1"/>
      <c r="M34" s="1"/>
      <c r="N34" s="1"/>
      <c r="O34" s="1"/>
      <c r="P34" s="1"/>
    </row>
    <row r="35" spans="3:16" ht="24" customHeight="1" x14ac:dyDescent="0.25">
      <c r="C35" s="150" t="s">
        <v>7</v>
      </c>
      <c r="D35" s="116">
        <v>0.5</v>
      </c>
      <c r="E35" s="116">
        <v>0.42</v>
      </c>
      <c r="F35" s="116">
        <v>0.65</v>
      </c>
      <c r="G35" s="116">
        <v>0.99</v>
      </c>
      <c r="H35" s="116">
        <v>0.36</v>
      </c>
      <c r="I35" s="116">
        <v>0.46</v>
      </c>
      <c r="J35" s="116">
        <v>0.26</v>
      </c>
      <c r="K35" s="1"/>
      <c r="M35" s="1"/>
      <c r="N35" s="1"/>
      <c r="O35" s="1"/>
      <c r="P35" s="1"/>
    </row>
    <row r="36" spans="3:16" ht="24" customHeight="1" x14ac:dyDescent="0.25">
      <c r="C36" s="150" t="s">
        <v>161</v>
      </c>
      <c r="D36" s="116">
        <v>0.42</v>
      </c>
      <c r="E36" s="116">
        <v>0.47</v>
      </c>
      <c r="F36" s="116">
        <v>0.63</v>
      </c>
      <c r="G36" s="116">
        <v>0.96</v>
      </c>
      <c r="H36" s="116">
        <v>0.43</v>
      </c>
      <c r="I36" s="116">
        <v>0.42</v>
      </c>
      <c r="J36" s="116">
        <v>0.3</v>
      </c>
      <c r="K36" s="1"/>
      <c r="M36" s="1"/>
      <c r="N36" s="1"/>
      <c r="O36" s="1"/>
      <c r="P36" s="1"/>
    </row>
    <row r="37" spans="3:16" ht="24" customHeight="1" x14ac:dyDescent="0.25">
      <c r="C37" s="150" t="s">
        <v>162</v>
      </c>
      <c r="D37" s="116">
        <v>0.72</v>
      </c>
      <c r="E37" s="116">
        <v>0.46</v>
      </c>
      <c r="F37" s="116">
        <v>0.54</v>
      </c>
      <c r="G37" s="116">
        <v>1.42</v>
      </c>
      <c r="H37" s="116">
        <v>0.43</v>
      </c>
      <c r="I37" s="116">
        <v>0.42</v>
      </c>
      <c r="J37" s="116">
        <v>0.3</v>
      </c>
      <c r="K37" s="1"/>
      <c r="M37" s="1"/>
      <c r="N37" s="1"/>
      <c r="O37" s="1"/>
      <c r="P37" s="1"/>
    </row>
    <row r="38" spans="3:16" ht="24" customHeight="1" x14ac:dyDescent="0.25">
      <c r="C38" s="150" t="s">
        <v>164</v>
      </c>
      <c r="D38" s="116">
        <v>0.39</v>
      </c>
      <c r="E38" s="116">
        <v>0.31</v>
      </c>
      <c r="F38" s="116">
        <v>0.59</v>
      </c>
      <c r="G38" s="116">
        <v>1.2</v>
      </c>
      <c r="H38" s="116">
        <v>0.32</v>
      </c>
      <c r="I38" s="116">
        <v>0.34</v>
      </c>
      <c r="J38" s="116">
        <v>0.56000000000000005</v>
      </c>
      <c r="K38" s="1"/>
      <c r="M38" s="1"/>
      <c r="N38" s="1"/>
      <c r="O38" s="1"/>
      <c r="P38" s="1"/>
    </row>
    <row r="39" spans="3:16" ht="24" customHeight="1" x14ac:dyDescent="0.25">
      <c r="C39" s="150" t="s">
        <v>165</v>
      </c>
      <c r="D39" s="116">
        <v>0.44</v>
      </c>
      <c r="E39" s="116">
        <v>0.44</v>
      </c>
      <c r="F39" s="116">
        <v>0.33</v>
      </c>
      <c r="G39" s="116">
        <v>1.29</v>
      </c>
      <c r="H39" s="116">
        <v>0.32</v>
      </c>
      <c r="I39" s="116">
        <v>0.34</v>
      </c>
      <c r="J39" s="116">
        <v>0.56000000000000005</v>
      </c>
      <c r="K39" s="1"/>
      <c r="M39" s="1"/>
      <c r="N39" s="1"/>
      <c r="O39" s="1"/>
      <c r="P39" s="1"/>
    </row>
    <row r="40" spans="3:16" ht="24" customHeight="1" x14ac:dyDescent="0.25">
      <c r="C40" s="150" t="s">
        <v>166</v>
      </c>
      <c r="D40" s="116">
        <v>0.5</v>
      </c>
      <c r="E40" s="116">
        <v>0.55000000000000004</v>
      </c>
      <c r="F40" s="116">
        <v>0.66</v>
      </c>
      <c r="G40" s="116">
        <v>1.29</v>
      </c>
      <c r="H40" s="116">
        <v>0.32</v>
      </c>
      <c r="I40" s="116">
        <v>0.34</v>
      </c>
      <c r="J40" s="116">
        <v>0.56000000000000005</v>
      </c>
      <c r="K40" s="1"/>
      <c r="M40" s="1"/>
      <c r="N40" s="1"/>
      <c r="O40" s="1"/>
      <c r="P40" s="1"/>
    </row>
    <row r="41" spans="3:16" ht="24" customHeight="1" x14ac:dyDescent="0.25">
      <c r="C41" s="150" t="s">
        <v>167</v>
      </c>
      <c r="D41" s="116">
        <v>0.44</v>
      </c>
      <c r="E41" s="116">
        <v>0.38</v>
      </c>
      <c r="F41" s="116">
        <v>0.61</v>
      </c>
      <c r="G41" s="116">
        <v>1.1000000000000001</v>
      </c>
      <c r="H41" s="116">
        <v>0.32</v>
      </c>
      <c r="I41" s="116">
        <v>0.34</v>
      </c>
      <c r="J41" s="116">
        <v>0.56000000000000005</v>
      </c>
      <c r="K41" s="1"/>
      <c r="M41" s="1"/>
      <c r="N41" s="1"/>
      <c r="O41" s="1"/>
      <c r="P41" s="1"/>
    </row>
    <row r="42" spans="3:16" ht="15.75" customHeight="1" x14ac:dyDescent="0.25">
      <c r="C42" s="1"/>
      <c r="D42" s="1"/>
      <c r="E42" s="1"/>
      <c r="F42" s="1"/>
      <c r="G42" s="1"/>
      <c r="H42" s="1"/>
      <c r="I42" s="1"/>
      <c r="J42" s="1"/>
      <c r="K42" s="1"/>
      <c r="M42" s="1"/>
      <c r="N42" s="1"/>
      <c r="O42" s="1"/>
      <c r="P42" s="1"/>
    </row>
    <row r="43" spans="3:16" x14ac:dyDescent="0.25">
      <c r="C43" s="1" t="s">
        <v>171</v>
      </c>
      <c r="D43" s="1"/>
      <c r="E43" s="1"/>
      <c r="F43" s="1"/>
      <c r="G43" s="1"/>
      <c r="H43" s="1"/>
      <c r="I43" s="1"/>
      <c r="J43" s="1"/>
      <c r="K43" s="1"/>
      <c r="M43" s="1"/>
      <c r="N43" s="1"/>
      <c r="O43" s="1"/>
      <c r="P43" s="1"/>
    </row>
    <row r="44" spans="3:16" ht="13.8" thickBot="1" x14ac:dyDescent="0.3">
      <c r="C44" s="1" t="s">
        <v>172</v>
      </c>
      <c r="D44" s="1"/>
      <c r="E44" s="1"/>
      <c r="F44" s="1"/>
      <c r="G44" s="1"/>
      <c r="H44" s="1"/>
      <c r="I44" s="1"/>
      <c r="J44" s="1"/>
      <c r="K44" s="1"/>
      <c r="M44" s="1"/>
      <c r="N44" s="1"/>
      <c r="O44" s="1"/>
      <c r="P44" s="1"/>
    </row>
    <row r="45" spans="3:16" ht="13.8" thickBot="1" x14ac:dyDescent="0.3">
      <c r="C45" s="1"/>
      <c r="D45" s="373" t="s">
        <v>173</v>
      </c>
      <c r="E45" s="374"/>
      <c r="F45" s="374"/>
      <c r="G45" s="374"/>
      <c r="H45" s="374"/>
      <c r="I45" s="374"/>
      <c r="J45" s="375"/>
      <c r="K45" s="1"/>
      <c r="M45" s="1"/>
      <c r="N45" s="1"/>
      <c r="O45" s="1"/>
      <c r="P45" s="1"/>
    </row>
    <row r="46" spans="3:16" x14ac:dyDescent="0.25">
      <c r="C46" s="1"/>
      <c r="D46" s="150" t="s">
        <v>154</v>
      </c>
      <c r="E46" s="163">
        <v>4.0000000000000001E-3</v>
      </c>
      <c r="F46" s="1"/>
      <c r="G46" s="1"/>
      <c r="H46" s="1"/>
      <c r="I46" s="1"/>
      <c r="J46" s="1"/>
      <c r="K46" s="1"/>
      <c r="M46" s="1"/>
      <c r="N46" s="1"/>
      <c r="O46" s="1"/>
      <c r="P46" s="1"/>
    </row>
    <row r="47" spans="3:16" x14ac:dyDescent="0.25">
      <c r="C47" s="1"/>
      <c r="D47" s="150" t="s">
        <v>170</v>
      </c>
      <c r="E47" s="163">
        <v>4.0000000000000001E-3</v>
      </c>
      <c r="F47" s="1"/>
      <c r="G47" s="1"/>
      <c r="H47" s="1"/>
      <c r="I47" s="1"/>
      <c r="J47" s="1"/>
      <c r="K47" s="1"/>
      <c r="M47" s="1"/>
      <c r="N47" s="1"/>
      <c r="O47" s="1"/>
      <c r="P47" s="1"/>
    </row>
    <row r="48" spans="3:16" x14ac:dyDescent="0.25">
      <c r="C48" s="1"/>
      <c r="D48" s="150" t="s">
        <v>156</v>
      </c>
      <c r="E48" s="163">
        <v>4.0000000000000001E-3</v>
      </c>
      <c r="F48" s="1"/>
      <c r="G48" s="1"/>
      <c r="H48" s="1"/>
      <c r="I48" s="1"/>
      <c r="J48" s="1"/>
      <c r="K48" s="1"/>
      <c r="M48" s="1"/>
      <c r="N48" s="1"/>
      <c r="O48" s="1"/>
      <c r="P48" s="1"/>
    </row>
    <row r="49" spans="3:16" x14ac:dyDescent="0.25">
      <c r="C49" s="1"/>
      <c r="D49" s="150" t="s">
        <v>157</v>
      </c>
      <c r="E49" s="163">
        <v>4.0000000000000001E-3</v>
      </c>
      <c r="F49" s="1"/>
      <c r="G49" s="1"/>
      <c r="H49" s="1"/>
      <c r="I49" s="1"/>
      <c r="J49" s="1"/>
      <c r="K49" s="1"/>
      <c r="M49" s="1"/>
      <c r="N49" s="1"/>
      <c r="O49" s="1"/>
      <c r="P49" s="1"/>
    </row>
    <row r="50" spans="3:16" x14ac:dyDescent="0.25">
      <c r="C50" s="1"/>
      <c r="D50" s="150" t="s">
        <v>21</v>
      </c>
      <c r="E50" s="162">
        <v>3.0000000000000001E-3</v>
      </c>
      <c r="F50" s="1"/>
      <c r="G50" s="1"/>
      <c r="H50" s="1"/>
      <c r="I50" s="1"/>
      <c r="J50" s="1"/>
      <c r="K50" s="1"/>
      <c r="M50" s="1"/>
      <c r="N50" s="1"/>
      <c r="O50" s="1"/>
      <c r="P50" s="1"/>
    </row>
    <row r="51" spans="3:16" x14ac:dyDescent="0.25">
      <c r="C51" s="1"/>
      <c r="D51" s="150" t="s">
        <v>158</v>
      </c>
      <c r="E51" s="162">
        <v>3.0000000000000001E-3</v>
      </c>
      <c r="F51" s="1"/>
      <c r="G51" s="1"/>
      <c r="H51" s="1"/>
      <c r="I51" s="1"/>
      <c r="J51" s="1"/>
      <c r="K51" s="1"/>
      <c r="M51" s="1"/>
      <c r="N51" s="1"/>
      <c r="O51" s="1"/>
      <c r="P51" s="1"/>
    </row>
    <row r="52" spans="3:16" x14ac:dyDescent="0.25">
      <c r="C52" s="1"/>
      <c r="D52" s="150" t="s">
        <v>159</v>
      </c>
      <c r="E52" s="162">
        <v>3.0000000000000001E-3</v>
      </c>
      <c r="F52" s="1"/>
      <c r="G52" s="1"/>
      <c r="H52" s="1"/>
      <c r="I52" s="1"/>
      <c r="J52" s="1"/>
      <c r="K52" s="1"/>
      <c r="M52" s="1"/>
      <c r="N52" s="1"/>
      <c r="O52" s="1"/>
      <c r="P52" s="1"/>
    </row>
    <row r="53" spans="3:16" x14ac:dyDescent="0.25">
      <c r="C53" s="1"/>
      <c r="D53" s="1"/>
      <c r="E53" s="1"/>
      <c r="F53" s="1"/>
      <c r="G53" s="1"/>
      <c r="H53" s="1"/>
      <c r="I53" s="1"/>
      <c r="J53" s="1"/>
      <c r="K53" s="1"/>
      <c r="M53" s="1"/>
      <c r="N53" s="1"/>
      <c r="O53" s="1"/>
      <c r="P53" s="1"/>
    </row>
    <row r="54" spans="3:16" x14ac:dyDescent="0.25">
      <c r="C54" s="1" t="s">
        <v>151</v>
      </c>
      <c r="D54" s="1"/>
      <c r="E54" s="1"/>
      <c r="F54" s="1"/>
      <c r="G54" s="1"/>
      <c r="H54" s="1"/>
      <c r="I54" s="1"/>
      <c r="J54" s="1"/>
      <c r="K54" s="1"/>
      <c r="M54" s="1"/>
      <c r="N54" s="1"/>
      <c r="O54" s="1"/>
      <c r="P54" s="1"/>
    </row>
    <row r="55" spans="3:16" ht="13.8" thickBot="1" x14ac:dyDescent="0.3">
      <c r="C55" s="2" t="s">
        <v>174</v>
      </c>
      <c r="D55" s="1"/>
      <c r="E55" s="1"/>
      <c r="F55" s="1"/>
      <c r="G55" s="1"/>
      <c r="H55" s="1"/>
      <c r="I55" s="1"/>
      <c r="J55" s="1"/>
      <c r="K55" s="1"/>
      <c r="M55" s="1"/>
      <c r="N55" s="1"/>
      <c r="O55" s="1"/>
      <c r="P55" s="1"/>
    </row>
    <row r="56" spans="3:16" ht="13.8" thickBot="1" x14ac:dyDescent="0.3">
      <c r="C56" s="1"/>
      <c r="D56" s="373" t="s">
        <v>175</v>
      </c>
      <c r="E56" s="374"/>
      <c r="F56" s="374"/>
      <c r="G56" s="374"/>
      <c r="H56" s="374"/>
      <c r="I56" s="374"/>
      <c r="J56" s="375"/>
      <c r="K56" s="1"/>
      <c r="M56" s="1"/>
      <c r="N56" s="1"/>
      <c r="O56" s="1"/>
      <c r="P56" s="1"/>
    </row>
    <row r="57" spans="3:16" x14ac:dyDescent="0.25">
      <c r="C57" s="1"/>
      <c r="D57" s="165" t="s">
        <v>154</v>
      </c>
      <c r="E57" s="165" t="s">
        <v>170</v>
      </c>
      <c r="F57" s="165" t="s">
        <v>156</v>
      </c>
      <c r="G57" s="165" t="s">
        <v>157</v>
      </c>
      <c r="H57" s="165" t="s">
        <v>21</v>
      </c>
      <c r="I57" s="165" t="s">
        <v>158</v>
      </c>
      <c r="J57" s="165" t="s">
        <v>159</v>
      </c>
      <c r="K57" s="1"/>
      <c r="M57" s="1"/>
      <c r="N57" s="1"/>
      <c r="O57" s="1"/>
      <c r="P57" s="1"/>
    </row>
    <row r="58" spans="3:16" x14ac:dyDescent="0.25">
      <c r="C58" s="150" t="s">
        <v>160</v>
      </c>
      <c r="D58" s="166">
        <v>9.3000000000000007</v>
      </c>
      <c r="E58" s="166">
        <v>7.6</v>
      </c>
      <c r="F58" s="166">
        <v>3.3</v>
      </c>
      <c r="G58" s="166">
        <v>14.5</v>
      </c>
      <c r="H58" s="166">
        <v>8.1999999999999993</v>
      </c>
      <c r="I58" s="116">
        <v>9</v>
      </c>
      <c r="J58" s="166">
        <v>5.65</v>
      </c>
      <c r="K58" s="1"/>
      <c r="M58" s="1"/>
      <c r="N58" s="1"/>
      <c r="O58" s="1"/>
      <c r="P58" s="1"/>
    </row>
    <row r="59" spans="3:16" x14ac:dyDescent="0.25">
      <c r="C59" s="150" t="s">
        <v>7</v>
      </c>
      <c r="D59" s="166">
        <v>7.5</v>
      </c>
      <c r="E59" s="116">
        <v>5.7</v>
      </c>
      <c r="F59" s="116">
        <v>4.5</v>
      </c>
      <c r="G59" s="116">
        <v>12.3</v>
      </c>
      <c r="H59" s="166">
        <v>8.1999999999999993</v>
      </c>
      <c r="I59" s="116">
        <v>9</v>
      </c>
      <c r="J59" s="166">
        <v>5.65</v>
      </c>
      <c r="K59" s="1"/>
      <c r="M59" s="1"/>
      <c r="N59" s="1"/>
      <c r="O59" s="1"/>
      <c r="P59" s="1"/>
    </row>
    <row r="60" spans="3:16" x14ac:dyDescent="0.25">
      <c r="C60" s="150" t="s">
        <v>161</v>
      </c>
      <c r="D60" s="116">
        <v>6.7</v>
      </c>
      <c r="E60" s="116">
        <v>7.6</v>
      </c>
      <c r="F60" s="116">
        <v>4</v>
      </c>
      <c r="G60" s="116">
        <v>12.6</v>
      </c>
      <c r="H60" s="166">
        <v>8.1999999999999993</v>
      </c>
      <c r="I60" s="116">
        <v>9</v>
      </c>
      <c r="J60" s="166">
        <v>5.65</v>
      </c>
      <c r="K60" s="1"/>
      <c r="M60" s="1"/>
      <c r="N60" s="1"/>
      <c r="O60" s="1"/>
      <c r="P60" s="1"/>
    </row>
    <row r="61" spans="3:16" x14ac:dyDescent="0.25">
      <c r="C61" s="150" t="s">
        <v>162</v>
      </c>
      <c r="D61" s="116">
        <v>6</v>
      </c>
      <c r="E61" s="116">
        <v>8.6999999999999993</v>
      </c>
      <c r="F61" s="116">
        <v>4</v>
      </c>
      <c r="G61" s="116">
        <v>15.4</v>
      </c>
      <c r="H61" s="166">
        <v>8.1999999999999993</v>
      </c>
      <c r="I61" s="116">
        <v>9</v>
      </c>
      <c r="J61" s="166">
        <v>5.65</v>
      </c>
      <c r="K61" s="1"/>
      <c r="M61" s="1"/>
      <c r="N61" s="1"/>
      <c r="O61" s="1"/>
      <c r="P61" s="1"/>
    </row>
    <row r="62" spans="3:16" x14ac:dyDescent="0.25">
      <c r="C62" s="150" t="s">
        <v>164</v>
      </c>
      <c r="D62" s="116">
        <v>7.9</v>
      </c>
      <c r="E62" s="116">
        <v>8.5</v>
      </c>
      <c r="F62" s="116">
        <v>5</v>
      </c>
      <c r="G62" s="116">
        <v>13.5</v>
      </c>
      <c r="H62" s="116">
        <v>8.3000000000000007</v>
      </c>
      <c r="I62" s="116">
        <v>10.4</v>
      </c>
      <c r="J62" s="116">
        <v>7.2</v>
      </c>
      <c r="K62" s="1"/>
      <c r="M62" s="1"/>
      <c r="N62" s="1"/>
      <c r="O62" s="1"/>
      <c r="P62" s="1"/>
    </row>
    <row r="63" spans="3:16" x14ac:dyDescent="0.25">
      <c r="C63" s="150" t="s">
        <v>165</v>
      </c>
      <c r="D63" s="116">
        <v>18.2</v>
      </c>
      <c r="E63" s="116">
        <v>12</v>
      </c>
      <c r="F63" s="116">
        <v>7.2</v>
      </c>
      <c r="G63" s="116">
        <v>12.6</v>
      </c>
      <c r="H63" s="116">
        <v>8.3000000000000007</v>
      </c>
      <c r="I63" s="116">
        <v>10.4</v>
      </c>
      <c r="J63" s="116">
        <v>7.2</v>
      </c>
      <c r="K63" s="1"/>
      <c r="M63" s="1"/>
      <c r="N63" s="1"/>
      <c r="O63" s="1"/>
      <c r="P63" s="1"/>
    </row>
    <row r="64" spans="3:16" x14ac:dyDescent="0.25">
      <c r="C64" s="150" t="s">
        <v>166</v>
      </c>
      <c r="D64" s="116">
        <v>10.7</v>
      </c>
      <c r="E64" s="116">
        <v>14.1</v>
      </c>
      <c r="F64" s="116">
        <v>4.3</v>
      </c>
      <c r="G64" s="116">
        <v>14.2</v>
      </c>
      <c r="H64" s="116">
        <v>8.3000000000000007</v>
      </c>
      <c r="I64" s="116">
        <v>10.4</v>
      </c>
      <c r="J64" s="116">
        <v>7.2</v>
      </c>
      <c r="K64" s="1"/>
      <c r="M64" s="1"/>
      <c r="N64" s="1"/>
      <c r="O64" s="1"/>
      <c r="P64" s="1"/>
    </row>
    <row r="65" spans="3:16" x14ac:dyDescent="0.25">
      <c r="C65" s="150" t="s">
        <v>167</v>
      </c>
      <c r="D65" s="116">
        <v>9</v>
      </c>
      <c r="E65" s="116">
        <v>9.8000000000000007</v>
      </c>
      <c r="F65" s="116">
        <v>5.8</v>
      </c>
      <c r="G65" s="116">
        <v>11.2</v>
      </c>
      <c r="H65" s="116">
        <v>8.3000000000000007</v>
      </c>
      <c r="I65" s="116">
        <v>10.4</v>
      </c>
      <c r="J65" s="116">
        <v>7.2</v>
      </c>
      <c r="K65" s="1"/>
      <c r="M65" s="1"/>
      <c r="N65" s="1"/>
      <c r="O65" s="1"/>
      <c r="P65" s="1"/>
    </row>
    <row r="66" spans="3:16" x14ac:dyDescent="0.25">
      <c r="C66" s="1"/>
      <c r="D66" s="1"/>
      <c r="E66" s="1"/>
      <c r="F66" s="1"/>
      <c r="G66" s="1"/>
      <c r="H66" s="1"/>
      <c r="I66" s="1"/>
      <c r="J66" s="1"/>
      <c r="K66" s="1"/>
      <c r="M66" s="1"/>
      <c r="N66" s="1"/>
      <c r="O66" s="1"/>
      <c r="P66" s="1"/>
    </row>
    <row r="67" spans="3:16" x14ac:dyDescent="0.25">
      <c r="C67" s="1" t="s">
        <v>176</v>
      </c>
      <c r="D67" s="1"/>
      <c r="E67" s="1"/>
      <c r="F67" s="1"/>
      <c r="G67" s="1"/>
      <c r="H67" s="1"/>
      <c r="I67" s="1"/>
      <c r="J67" s="1"/>
      <c r="K67" s="1"/>
      <c r="M67" s="1"/>
      <c r="N67" s="1"/>
      <c r="O67" s="1"/>
      <c r="P67" s="1"/>
    </row>
    <row r="68" spans="3:16" ht="13.8" thickBot="1" x14ac:dyDescent="0.3">
      <c r="C68" s="1" t="s">
        <v>177</v>
      </c>
      <c r="D68" s="1"/>
      <c r="E68" s="1"/>
      <c r="F68" s="1"/>
      <c r="G68" s="1"/>
      <c r="H68" s="1"/>
      <c r="I68" s="1"/>
      <c r="J68" s="1"/>
      <c r="K68" s="1"/>
      <c r="M68" s="1"/>
      <c r="N68" s="1"/>
      <c r="O68" s="1"/>
      <c r="P68" s="1"/>
    </row>
    <row r="69" spans="3:16" ht="13.8" thickBot="1" x14ac:dyDescent="0.3">
      <c r="C69" s="373" t="s">
        <v>178</v>
      </c>
      <c r="D69" s="374"/>
      <c r="E69" s="374"/>
      <c r="F69" s="374"/>
      <c r="G69" s="374"/>
      <c r="H69" s="374"/>
      <c r="I69" s="374"/>
      <c r="J69" s="375"/>
      <c r="K69" s="1"/>
      <c r="M69" s="1"/>
      <c r="N69" s="1"/>
      <c r="O69" s="1"/>
      <c r="P69" s="1"/>
    </row>
    <row r="70" spans="3:16" x14ac:dyDescent="0.25">
      <c r="C70" s="376" t="s">
        <v>179</v>
      </c>
      <c r="D70" s="376"/>
      <c r="E70" s="376"/>
      <c r="F70" s="376"/>
      <c r="G70" s="376"/>
      <c r="H70" s="376"/>
      <c r="I70" s="376"/>
      <c r="J70" s="168">
        <v>0.01</v>
      </c>
      <c r="K70" s="1"/>
      <c r="M70" s="1"/>
      <c r="N70" s="1"/>
      <c r="O70" s="1"/>
      <c r="P70" s="1"/>
    </row>
    <row r="71" spans="3:16" x14ac:dyDescent="0.25">
      <c r="C71" s="361" t="s">
        <v>180</v>
      </c>
      <c r="D71" s="361"/>
      <c r="E71" s="361"/>
      <c r="F71" s="361"/>
      <c r="G71" s="361"/>
      <c r="H71" s="361"/>
      <c r="I71" s="361"/>
      <c r="J71" s="117">
        <v>1.0999999999999999E-2</v>
      </c>
      <c r="K71" s="1"/>
      <c r="M71" s="1"/>
      <c r="N71" s="1"/>
      <c r="O71" s="1"/>
      <c r="P71" s="1"/>
    </row>
    <row r="72" spans="3:16" x14ac:dyDescent="0.25">
      <c r="C72" s="361" t="s">
        <v>181</v>
      </c>
      <c r="D72" s="361"/>
      <c r="E72" s="361"/>
      <c r="F72" s="361"/>
      <c r="G72" s="361"/>
      <c r="H72" s="361"/>
      <c r="I72" s="361"/>
      <c r="J72" s="117">
        <v>0.11</v>
      </c>
      <c r="K72" s="1"/>
      <c r="M72" s="1"/>
      <c r="N72" s="1"/>
      <c r="O72" s="1"/>
      <c r="P72" s="1"/>
    </row>
    <row r="73" spans="3:16" x14ac:dyDescent="0.25">
      <c r="C73" s="361" t="s">
        <v>182</v>
      </c>
      <c r="D73" s="361"/>
      <c r="E73" s="361"/>
      <c r="F73" s="361"/>
      <c r="G73" s="361"/>
      <c r="H73" s="361"/>
      <c r="I73" s="361"/>
      <c r="J73" s="117">
        <v>0.21</v>
      </c>
      <c r="K73" s="1"/>
      <c r="M73" s="1"/>
      <c r="N73" s="1"/>
      <c r="O73" s="1"/>
      <c r="P73" s="1"/>
    </row>
    <row r="74" spans="3:16" x14ac:dyDescent="0.25">
      <c r="C74" s="361" t="s">
        <v>183</v>
      </c>
      <c r="D74" s="361"/>
      <c r="E74" s="361"/>
      <c r="F74" s="361"/>
      <c r="G74" s="361"/>
      <c r="H74" s="361"/>
      <c r="I74" s="361"/>
      <c r="J74" s="117">
        <v>0.24</v>
      </c>
      <c r="K74" s="1"/>
      <c r="M74" s="1"/>
      <c r="N74" s="1"/>
      <c r="O74" s="1"/>
      <c r="P74" s="1"/>
    </row>
    <row r="75" spans="3:16" x14ac:dyDescent="0.25">
      <c r="C75" s="1"/>
      <c r="D75" s="1"/>
      <c r="E75" s="1"/>
      <c r="F75" s="1"/>
      <c r="G75" s="1"/>
      <c r="H75" s="1"/>
      <c r="I75" s="1"/>
      <c r="J75" s="1"/>
      <c r="K75" s="1"/>
      <c r="M75" s="1"/>
      <c r="N75" s="1"/>
      <c r="O75" s="1"/>
      <c r="P75" s="1"/>
    </row>
    <row r="76" spans="3:16" x14ac:dyDescent="0.25">
      <c r="C76" s="1"/>
      <c r="D76" s="1"/>
      <c r="E76" s="1"/>
      <c r="F76" s="1"/>
      <c r="G76" s="1"/>
      <c r="H76" s="1"/>
      <c r="I76" s="1"/>
      <c r="J76" s="1"/>
      <c r="K76" s="1"/>
      <c r="M76" s="1"/>
      <c r="N76" s="1"/>
      <c r="O76" s="1"/>
      <c r="P76" s="1"/>
    </row>
    <row r="77" spans="3:16" x14ac:dyDescent="0.25">
      <c r="C77" s="1" t="s">
        <v>176</v>
      </c>
      <c r="D77" s="1"/>
      <c r="E77" s="1"/>
      <c r="F77" s="1"/>
      <c r="G77" s="1"/>
      <c r="H77" s="1"/>
      <c r="I77" s="1"/>
      <c r="J77" s="1"/>
      <c r="K77" s="1"/>
      <c r="M77" s="1"/>
      <c r="N77" s="1"/>
      <c r="O77" s="1"/>
      <c r="P77" s="1"/>
    </row>
    <row r="78" spans="3:16" ht="13.8" thickBot="1" x14ac:dyDescent="0.3">
      <c r="C78" s="1" t="s">
        <v>172</v>
      </c>
      <c r="D78" s="1"/>
      <c r="E78" s="1"/>
      <c r="F78" s="1"/>
      <c r="G78" s="1"/>
      <c r="H78" s="1"/>
      <c r="I78" s="1"/>
      <c r="J78" s="1"/>
      <c r="K78" s="1"/>
      <c r="M78" s="1"/>
      <c r="N78" s="1"/>
      <c r="O78" s="1"/>
      <c r="P78" s="1"/>
    </row>
    <row r="79" spans="3:16" x14ac:dyDescent="0.25">
      <c r="C79" s="362" t="s">
        <v>184</v>
      </c>
      <c r="D79" s="363"/>
      <c r="E79" s="363"/>
      <c r="F79" s="363"/>
      <c r="G79" s="363"/>
      <c r="H79" s="363"/>
      <c r="I79" s="363"/>
      <c r="J79" s="364"/>
      <c r="K79" s="1"/>
      <c r="M79" s="1"/>
      <c r="N79" s="1"/>
      <c r="O79" s="1"/>
      <c r="P79" s="1"/>
    </row>
    <row r="80" spans="3:16" ht="13.8" thickBot="1" x14ac:dyDescent="0.3">
      <c r="C80" s="365"/>
      <c r="D80" s="366"/>
      <c r="E80" s="366"/>
      <c r="F80" s="366"/>
      <c r="G80" s="366"/>
      <c r="H80" s="366"/>
      <c r="I80" s="366"/>
      <c r="J80" s="367"/>
      <c r="K80" s="1"/>
      <c r="M80" s="1"/>
      <c r="N80" s="1"/>
      <c r="O80" s="1"/>
      <c r="P80" s="1"/>
    </row>
    <row r="81" spans="1:16" x14ac:dyDescent="0.25">
      <c r="C81" s="172" t="s">
        <v>185</v>
      </c>
      <c r="D81" s="172" t="s">
        <v>186</v>
      </c>
      <c r="E81" s="172" t="s">
        <v>187</v>
      </c>
      <c r="F81" s="1"/>
      <c r="G81" s="173" t="s">
        <v>188</v>
      </c>
      <c r="H81" s="1"/>
      <c r="I81" s="1"/>
      <c r="J81" s="1"/>
      <c r="K81" s="1"/>
      <c r="M81" s="1"/>
      <c r="N81" s="1"/>
      <c r="O81" s="1"/>
      <c r="P81" s="1"/>
    </row>
    <row r="82" spans="1:16" ht="26.4" x14ac:dyDescent="0.25">
      <c r="C82" s="170" t="s">
        <v>189</v>
      </c>
      <c r="D82" s="117">
        <v>1.6E-2</v>
      </c>
      <c r="E82" s="117" t="s">
        <v>190</v>
      </c>
      <c r="F82" s="1"/>
      <c r="G82" s="171" t="s">
        <v>186</v>
      </c>
      <c r="H82" s="171">
        <v>0.01</v>
      </c>
      <c r="I82" s="1"/>
      <c r="J82" s="1"/>
      <c r="K82" s="1"/>
      <c r="M82" s="1"/>
      <c r="N82" s="1"/>
      <c r="O82" s="1"/>
      <c r="P82" s="1"/>
    </row>
    <row r="83" spans="1:16" x14ac:dyDescent="0.25">
      <c r="C83" s="170" t="s">
        <v>191</v>
      </c>
      <c r="D83" s="117">
        <v>6.0000000000000001E-3</v>
      </c>
      <c r="E83" s="117" t="s">
        <v>192</v>
      </c>
      <c r="F83" s="1"/>
      <c r="G83" s="1"/>
      <c r="H83" s="1"/>
      <c r="I83" s="1"/>
      <c r="J83" s="1"/>
      <c r="K83" s="1"/>
      <c r="M83" s="1"/>
      <c r="N83" s="1"/>
      <c r="O83" s="1"/>
      <c r="P83" s="1"/>
    </row>
    <row r="84" spans="1:16" ht="13.8" thickBot="1" x14ac:dyDescent="0.3">
      <c r="C84" s="170" t="s">
        <v>193</v>
      </c>
      <c r="D84" s="117">
        <v>5.0000000000000001E-3</v>
      </c>
      <c r="E84" s="117" t="s">
        <v>194</v>
      </c>
      <c r="F84" s="1"/>
      <c r="G84" s="1"/>
      <c r="H84" s="1"/>
      <c r="I84" s="1"/>
      <c r="J84" s="1"/>
      <c r="K84" s="1"/>
      <c r="M84" s="1"/>
      <c r="N84" s="1"/>
      <c r="O84" s="1"/>
      <c r="P84" s="1"/>
    </row>
    <row r="85" spans="1:16" ht="16.5" customHeight="1" thickBot="1" x14ac:dyDescent="0.35">
      <c r="B85" s="208"/>
      <c r="C85" s="353" t="s">
        <v>195</v>
      </c>
      <c r="D85" s="354"/>
      <c r="E85" s="354"/>
      <c r="F85" s="354"/>
      <c r="G85" s="354"/>
      <c r="H85" s="354"/>
      <c r="I85" s="354"/>
      <c r="J85" s="355"/>
      <c r="K85" s="1"/>
      <c r="M85" s="1"/>
      <c r="N85" s="1"/>
      <c r="O85" s="1"/>
      <c r="P85" s="1"/>
    </row>
    <row r="86" spans="1:16" ht="15.6" x14ac:dyDescent="0.3">
      <c r="B86" s="208"/>
      <c r="C86" s="172" t="s">
        <v>185</v>
      </c>
      <c r="D86" s="168" t="s">
        <v>186</v>
      </c>
      <c r="E86" s="168" t="s">
        <v>187</v>
      </c>
      <c r="F86" s="1"/>
      <c r="G86" s="1"/>
      <c r="H86" s="1"/>
      <c r="I86" s="1"/>
      <c r="J86" s="1"/>
      <c r="K86" s="1"/>
      <c r="M86" s="1"/>
      <c r="N86" s="1"/>
      <c r="O86" s="1"/>
      <c r="P86" s="1"/>
    </row>
    <row r="87" spans="1:16" ht="15.6" x14ac:dyDescent="0.3">
      <c r="B87" s="208"/>
      <c r="C87" s="170" t="s">
        <v>196</v>
      </c>
      <c r="D87" s="154">
        <v>6.0000000000000001E-3</v>
      </c>
      <c r="E87" s="154" t="s">
        <v>197</v>
      </c>
      <c r="F87" s="1"/>
      <c r="G87" s="1"/>
      <c r="H87" s="1"/>
      <c r="I87" s="1"/>
      <c r="J87" s="1"/>
      <c r="K87" s="1"/>
      <c r="M87" s="1"/>
      <c r="N87" s="1"/>
      <c r="O87" s="1"/>
      <c r="P87" s="1"/>
    </row>
    <row r="88" spans="1:16" ht="16.2" thickBot="1" x14ac:dyDescent="0.35">
      <c r="B88" s="208"/>
      <c r="C88" s="174" t="s">
        <v>198</v>
      </c>
      <c r="D88" s="175">
        <v>2E-3</v>
      </c>
      <c r="E88" s="175" t="s">
        <v>199</v>
      </c>
      <c r="F88" s="1"/>
      <c r="G88" s="1"/>
      <c r="H88" s="1"/>
      <c r="I88" s="1"/>
      <c r="J88" s="1"/>
      <c r="K88" s="1"/>
      <c r="M88" s="1"/>
      <c r="N88" s="1"/>
      <c r="O88" s="1"/>
      <c r="P88" s="1"/>
    </row>
    <row r="89" spans="1:16" ht="16.2" thickBot="1" x14ac:dyDescent="0.35">
      <c r="B89" s="208"/>
      <c r="C89" s="353" t="s">
        <v>200</v>
      </c>
      <c r="D89" s="354"/>
      <c r="E89" s="354"/>
      <c r="F89" s="354"/>
      <c r="G89" s="354"/>
      <c r="H89" s="354"/>
      <c r="I89" s="354"/>
      <c r="J89" s="355"/>
      <c r="M89" s="1"/>
      <c r="N89" s="1"/>
      <c r="O89" s="1"/>
      <c r="P89" s="1"/>
    </row>
    <row r="90" spans="1:16" ht="15.6" x14ac:dyDescent="0.3">
      <c r="B90" s="208"/>
      <c r="C90" s="173" t="s">
        <v>188</v>
      </c>
      <c r="D90" s="1"/>
      <c r="E90" s="1"/>
      <c r="F90" s="1"/>
      <c r="G90" s="1"/>
      <c r="H90" s="1"/>
      <c r="I90" s="1"/>
      <c r="J90" s="1"/>
      <c r="K90" s="1"/>
      <c r="M90" s="1"/>
      <c r="N90" s="1"/>
      <c r="O90" s="1"/>
      <c r="P90" s="1"/>
    </row>
    <row r="91" spans="1:16" ht="16.2" thickBot="1" x14ac:dyDescent="0.35">
      <c r="B91" s="208"/>
      <c r="C91" s="171" t="s">
        <v>186</v>
      </c>
      <c r="D91" s="171">
        <v>4.0000000000000001E-3</v>
      </c>
      <c r="E91" s="1"/>
      <c r="F91" s="1"/>
      <c r="G91" s="1"/>
      <c r="H91" s="1"/>
      <c r="I91" s="1"/>
      <c r="J91" s="1"/>
      <c r="K91" s="1"/>
      <c r="M91" s="1"/>
      <c r="N91" s="1"/>
      <c r="O91" s="1"/>
      <c r="P91" s="1"/>
    </row>
    <row r="92" spans="1:16" ht="16.5" customHeight="1" thickBot="1" x14ac:dyDescent="0.35">
      <c r="A92" s="208"/>
      <c r="B92" s="208"/>
      <c r="C92" s="353" t="s">
        <v>201</v>
      </c>
      <c r="D92" s="354"/>
      <c r="E92" s="354"/>
      <c r="F92" s="354"/>
      <c r="G92" s="354"/>
      <c r="H92" s="354"/>
      <c r="I92" s="354"/>
      <c r="J92" s="355"/>
      <c r="K92" s="1"/>
      <c r="M92" s="1"/>
      <c r="N92" s="1"/>
      <c r="O92" s="1"/>
      <c r="P92" s="1"/>
    </row>
    <row r="93" spans="1:16" ht="15.6" x14ac:dyDescent="0.3">
      <c r="A93" s="208"/>
      <c r="B93" s="208"/>
      <c r="C93" s="172" t="s">
        <v>185</v>
      </c>
      <c r="D93" s="168" t="s">
        <v>186</v>
      </c>
      <c r="E93" s="168" t="s">
        <v>187</v>
      </c>
      <c r="F93" s="103"/>
      <c r="G93" s="171" t="s">
        <v>188</v>
      </c>
      <c r="H93" s="1"/>
      <c r="I93" s="103"/>
      <c r="J93" s="103"/>
      <c r="K93" s="1"/>
      <c r="M93" s="1"/>
      <c r="N93" s="1"/>
      <c r="O93" s="1"/>
      <c r="P93" s="1"/>
    </row>
    <row r="94" spans="1:16" ht="26.4" x14ac:dyDescent="0.3">
      <c r="A94" s="208"/>
      <c r="B94" s="208"/>
      <c r="C94" s="170" t="s">
        <v>202</v>
      </c>
      <c r="D94" s="154">
        <v>3.0000000000000001E-3</v>
      </c>
      <c r="E94" s="154" t="s">
        <v>203</v>
      </c>
      <c r="F94" s="1"/>
      <c r="G94" s="171" t="s">
        <v>186</v>
      </c>
      <c r="H94" s="171">
        <v>4.0000000000000001E-3</v>
      </c>
      <c r="I94" s="1"/>
      <c r="J94" s="1"/>
      <c r="K94" s="1"/>
      <c r="M94" s="1"/>
      <c r="N94" s="1"/>
      <c r="O94" s="1"/>
      <c r="P94" s="1"/>
    </row>
    <row r="95" spans="1:16" ht="16.2" thickBot="1" x14ac:dyDescent="0.35">
      <c r="A95" s="208"/>
      <c r="B95" s="208"/>
      <c r="C95" s="170" t="s">
        <v>198</v>
      </c>
      <c r="D95" s="117">
        <v>5.0000000000000001E-3</v>
      </c>
      <c r="E95" s="117" t="s">
        <v>203</v>
      </c>
      <c r="F95" s="1"/>
      <c r="G95" s="1"/>
      <c r="H95" s="1"/>
      <c r="I95" s="1"/>
      <c r="J95" s="1"/>
      <c r="K95" s="1"/>
      <c r="M95" s="1"/>
      <c r="N95" s="1"/>
      <c r="O95" s="1"/>
      <c r="P95" s="1"/>
    </row>
    <row r="96" spans="1:16" ht="16.5" customHeight="1" thickBot="1" x14ac:dyDescent="0.35">
      <c r="A96" s="208"/>
      <c r="B96" s="208"/>
      <c r="C96" s="353" t="s">
        <v>195</v>
      </c>
      <c r="D96" s="354"/>
      <c r="E96" s="354"/>
      <c r="F96" s="354"/>
      <c r="G96" s="354"/>
      <c r="H96" s="354"/>
      <c r="I96" s="354"/>
      <c r="J96" s="355"/>
      <c r="K96" s="1"/>
      <c r="M96" s="1"/>
      <c r="N96" s="1"/>
      <c r="O96" s="1"/>
      <c r="P96" s="1"/>
    </row>
    <row r="97" spans="1:16" ht="15.6" x14ac:dyDescent="0.3">
      <c r="A97" s="208"/>
      <c r="B97" s="208"/>
      <c r="C97" s="172" t="s">
        <v>185</v>
      </c>
      <c r="D97" s="168" t="s">
        <v>186</v>
      </c>
      <c r="E97" s="168" t="s">
        <v>187</v>
      </c>
      <c r="F97" s="1"/>
      <c r="G97" s="1"/>
      <c r="H97" s="1"/>
      <c r="I97" s="1"/>
      <c r="J97" s="1"/>
      <c r="K97" s="1"/>
      <c r="M97" s="1"/>
      <c r="N97" s="1"/>
      <c r="O97" s="1"/>
      <c r="P97" s="1"/>
    </row>
    <row r="98" spans="1:16" ht="15.6" x14ac:dyDescent="0.3">
      <c r="A98" s="208"/>
      <c r="B98" s="208"/>
      <c r="C98" s="170" t="s">
        <v>196</v>
      </c>
      <c r="D98" s="154">
        <v>6.0000000000000001E-3</v>
      </c>
      <c r="E98" s="154" t="s">
        <v>197</v>
      </c>
      <c r="F98" s="1"/>
      <c r="G98" s="1"/>
      <c r="H98" s="1"/>
      <c r="I98" s="1"/>
      <c r="J98" s="1"/>
      <c r="K98" s="1"/>
      <c r="M98" s="1"/>
      <c r="N98" s="1"/>
      <c r="O98" s="1"/>
      <c r="P98" s="1"/>
    </row>
    <row r="99" spans="1:16" ht="16.2" thickBot="1" x14ac:dyDescent="0.35">
      <c r="A99" s="208"/>
      <c r="B99" s="208"/>
      <c r="C99" s="174" t="s">
        <v>198</v>
      </c>
      <c r="D99" s="175">
        <v>2E-3</v>
      </c>
      <c r="E99" s="175" t="s">
        <v>199</v>
      </c>
      <c r="F99" s="1"/>
      <c r="G99" s="1"/>
      <c r="H99" s="1"/>
      <c r="I99" s="1"/>
      <c r="J99" s="1"/>
      <c r="K99" s="1"/>
      <c r="M99" s="1"/>
      <c r="N99" s="1"/>
      <c r="O99" s="1"/>
      <c r="P99" s="1"/>
    </row>
    <row r="100" spans="1:16" ht="15.75" customHeight="1" thickBot="1" x14ac:dyDescent="0.35">
      <c r="A100" s="208"/>
      <c r="B100" s="208"/>
      <c r="C100" s="353" t="s">
        <v>200</v>
      </c>
      <c r="D100" s="354"/>
      <c r="E100" s="354"/>
      <c r="F100" s="354"/>
      <c r="G100" s="354"/>
      <c r="H100" s="354"/>
      <c r="I100" s="354"/>
      <c r="J100" s="355"/>
      <c r="K100" s="1"/>
      <c r="M100" s="1"/>
      <c r="N100" s="1"/>
      <c r="O100" s="1"/>
      <c r="P100" s="1"/>
    </row>
    <row r="101" spans="1:16" ht="15.6" x14ac:dyDescent="0.3">
      <c r="A101" s="208"/>
      <c r="B101" s="208"/>
      <c r="C101" s="171" t="s">
        <v>188</v>
      </c>
      <c r="D101" s="1"/>
      <c r="E101" s="1"/>
      <c r="F101" s="1"/>
      <c r="G101" s="1"/>
      <c r="H101" s="1"/>
      <c r="I101" s="1"/>
      <c r="J101" s="1"/>
      <c r="K101" s="1"/>
      <c r="M101" s="1"/>
      <c r="N101" s="1"/>
      <c r="O101" s="1"/>
      <c r="P101" s="1"/>
    </row>
    <row r="102" spans="1:16" ht="15.6" x14ac:dyDescent="0.3">
      <c r="A102" s="208"/>
      <c r="B102" s="208"/>
      <c r="C102" s="171" t="s">
        <v>186</v>
      </c>
      <c r="D102" s="171">
        <v>4.0000000000000001E-3</v>
      </c>
      <c r="E102" s="1"/>
      <c r="F102" s="1"/>
      <c r="G102" s="1"/>
      <c r="H102" s="1"/>
      <c r="I102" s="1"/>
      <c r="J102" s="1"/>
      <c r="K102" s="1"/>
      <c r="M102" s="1"/>
      <c r="N102" s="1"/>
      <c r="O102" s="1"/>
      <c r="P102" s="1"/>
    </row>
    <row r="103" spans="1:16" x14ac:dyDescent="0.25">
      <c r="C103" s="1"/>
      <c r="D103" s="1"/>
      <c r="E103" s="1"/>
      <c r="F103" s="1"/>
      <c r="G103" s="1"/>
      <c r="H103" s="1"/>
      <c r="I103" s="1"/>
      <c r="J103" s="1"/>
      <c r="K103" s="1"/>
      <c r="M103" s="1"/>
      <c r="N103" s="1"/>
      <c r="O103" s="1"/>
      <c r="P103" s="1"/>
    </row>
    <row r="104" spans="1:16" ht="16.2" thickBot="1" x14ac:dyDescent="0.35">
      <c r="B104" s="208"/>
      <c r="C104" s="1" t="s">
        <v>204</v>
      </c>
      <c r="D104" s="1"/>
      <c r="E104" s="1"/>
      <c r="F104" s="1"/>
      <c r="G104" s="1"/>
      <c r="H104" s="1"/>
      <c r="I104" s="1"/>
      <c r="J104" s="1"/>
      <c r="K104" s="1"/>
      <c r="M104" s="1"/>
      <c r="N104" s="1"/>
      <c r="O104" s="1"/>
      <c r="P104" s="1"/>
    </row>
    <row r="105" spans="1:16" ht="16.2" thickBot="1" x14ac:dyDescent="0.35">
      <c r="B105" s="209"/>
      <c r="C105" s="353" t="s">
        <v>205</v>
      </c>
      <c r="D105" s="354"/>
      <c r="E105" s="354"/>
      <c r="F105" s="355"/>
      <c r="G105" s="1"/>
      <c r="H105" s="1"/>
      <c r="I105" s="1"/>
      <c r="J105" s="1"/>
      <c r="K105" s="1"/>
      <c r="M105" s="1"/>
      <c r="N105" s="1"/>
      <c r="O105" s="1"/>
      <c r="P105" s="1"/>
    </row>
    <row r="106" spans="1:16" ht="16.2" x14ac:dyDescent="0.35">
      <c r="B106" s="209"/>
      <c r="C106" s="368" t="s">
        <v>206</v>
      </c>
      <c r="D106" s="368"/>
      <c r="E106" s="1"/>
      <c r="F106" s="1"/>
      <c r="G106" s="1"/>
      <c r="H106" s="1"/>
      <c r="I106" s="1"/>
      <c r="J106" s="1"/>
      <c r="K106" s="1"/>
      <c r="M106" s="1"/>
      <c r="N106" s="1"/>
      <c r="O106" s="1"/>
      <c r="P106" s="1"/>
    </row>
    <row r="107" spans="1:16" ht="15.6" x14ac:dyDescent="0.3">
      <c r="B107" s="208"/>
      <c r="C107" s="176" t="s">
        <v>207</v>
      </c>
      <c r="D107" s="169">
        <v>6.0000000000000001E-3</v>
      </c>
      <c r="E107" s="1"/>
      <c r="F107" s="1"/>
      <c r="G107" s="1"/>
      <c r="H107" s="1"/>
      <c r="I107" s="1"/>
      <c r="J107" s="1"/>
      <c r="K107" s="1"/>
      <c r="M107" s="1"/>
      <c r="N107" s="1"/>
      <c r="O107" s="1"/>
      <c r="P107" s="1"/>
    </row>
    <row r="108" spans="1:16" ht="15.6" x14ac:dyDescent="0.3">
      <c r="B108" s="208"/>
      <c r="C108" s="176" t="s">
        <v>208</v>
      </c>
      <c r="D108" s="169">
        <v>7.0000000000000001E-3</v>
      </c>
      <c r="E108" s="1"/>
      <c r="F108" s="1"/>
      <c r="G108" s="1"/>
      <c r="H108" s="1"/>
      <c r="I108" s="1"/>
      <c r="J108" s="1"/>
      <c r="K108" s="1"/>
      <c r="M108" s="1"/>
      <c r="N108" s="1"/>
      <c r="O108" s="1"/>
      <c r="P108" s="1"/>
    </row>
    <row r="109" spans="1:16" ht="15.6" x14ac:dyDescent="0.3">
      <c r="B109" s="208"/>
      <c r="C109" s="176" t="s">
        <v>209</v>
      </c>
      <c r="D109" s="169">
        <v>1E-3</v>
      </c>
      <c r="E109" s="1"/>
      <c r="F109" s="1"/>
      <c r="G109" s="1"/>
      <c r="H109" s="1"/>
      <c r="I109" s="1"/>
      <c r="J109" s="1"/>
      <c r="K109" s="1"/>
      <c r="M109" s="1"/>
      <c r="N109" s="1"/>
      <c r="O109" s="1"/>
      <c r="P109" s="1"/>
    </row>
    <row r="110" spans="1:16" x14ac:dyDescent="0.25">
      <c r="C110" s="1"/>
      <c r="D110" s="1"/>
      <c r="E110" s="1"/>
      <c r="F110" s="1"/>
      <c r="G110" s="1"/>
      <c r="H110" s="1"/>
      <c r="I110" s="1"/>
      <c r="J110" s="1"/>
      <c r="K110" s="1"/>
      <c r="M110" s="1"/>
      <c r="N110" s="1"/>
      <c r="O110" s="1"/>
      <c r="P110" s="1"/>
    </row>
    <row r="111" spans="1:16" x14ac:dyDescent="0.25">
      <c r="C111" s="1" t="s">
        <v>176</v>
      </c>
      <c r="D111" s="1"/>
      <c r="E111" s="1"/>
      <c r="F111" s="1"/>
      <c r="G111" s="1"/>
      <c r="H111" s="1"/>
      <c r="I111" s="1"/>
      <c r="J111" s="1"/>
      <c r="K111" s="1"/>
      <c r="M111" s="1"/>
      <c r="N111" s="1"/>
      <c r="O111" s="1"/>
      <c r="P111" s="1"/>
    </row>
    <row r="112" spans="1:16" ht="13.8" thickBot="1" x14ac:dyDescent="0.3">
      <c r="C112" s="103" t="s">
        <v>210</v>
      </c>
      <c r="D112" s="1"/>
      <c r="E112" s="1"/>
      <c r="F112" s="1"/>
      <c r="G112" s="1"/>
      <c r="H112" s="1"/>
      <c r="I112" s="1"/>
      <c r="J112" s="1"/>
      <c r="K112" s="1"/>
      <c r="M112" s="1"/>
      <c r="N112" s="1"/>
      <c r="O112" s="1"/>
      <c r="P112" s="1"/>
    </row>
    <row r="113" spans="1:34" ht="13.8" thickBot="1" x14ac:dyDescent="0.3">
      <c r="C113" s="353" t="s">
        <v>211</v>
      </c>
      <c r="D113" s="354"/>
      <c r="E113" s="354"/>
      <c r="F113" s="354"/>
      <c r="G113" s="354"/>
      <c r="H113" s="354"/>
      <c r="I113" s="354"/>
      <c r="J113" s="355"/>
      <c r="K113" s="1"/>
      <c r="M113" s="1"/>
      <c r="N113" s="1"/>
      <c r="O113" s="1"/>
      <c r="P113" s="1"/>
    </row>
    <row r="114" spans="1:34" s="186" customFormat="1" ht="32.25" customHeight="1" x14ac:dyDescent="0.25">
      <c r="A114" s="104"/>
      <c r="B114" s="104"/>
      <c r="C114" s="187" t="s">
        <v>212</v>
      </c>
      <c r="D114" s="187" t="s">
        <v>213</v>
      </c>
      <c r="E114" s="187" t="s">
        <v>214</v>
      </c>
      <c r="F114" s="187" t="s">
        <v>215</v>
      </c>
      <c r="G114" s="104"/>
      <c r="H114" s="104"/>
      <c r="I114" s="104"/>
      <c r="J114" s="104"/>
      <c r="K114" s="104"/>
      <c r="L114" s="104"/>
      <c r="M114" s="1"/>
      <c r="N114" s="1"/>
      <c r="O114" s="1"/>
      <c r="P114" s="1"/>
      <c r="Q114" s="104"/>
      <c r="R114" s="104"/>
      <c r="S114" s="104"/>
      <c r="T114" s="104"/>
      <c r="U114" s="104"/>
      <c r="V114" s="104"/>
      <c r="W114" s="104"/>
      <c r="X114" s="104"/>
      <c r="Y114" s="104"/>
      <c r="Z114" s="104"/>
      <c r="AA114" s="104"/>
      <c r="AB114" s="104"/>
      <c r="AC114" s="104"/>
      <c r="AD114" s="104"/>
      <c r="AE114" s="104"/>
      <c r="AF114" s="104"/>
      <c r="AG114" s="104"/>
      <c r="AH114" s="104"/>
    </row>
    <row r="115" spans="1:34" x14ac:dyDescent="0.25">
      <c r="C115" s="126" t="s">
        <v>48</v>
      </c>
      <c r="D115" s="126">
        <v>8.0000000000000002E-3</v>
      </c>
      <c r="E115" s="126">
        <v>8.9999999999999993E-3</v>
      </c>
      <c r="F115" s="126">
        <v>0.85</v>
      </c>
      <c r="G115" s="1"/>
      <c r="H115" s="1"/>
      <c r="I115" s="1"/>
      <c r="J115" s="1"/>
      <c r="K115" s="1"/>
      <c r="M115" s="1"/>
      <c r="N115" s="1"/>
      <c r="O115" s="1"/>
      <c r="P115" s="1"/>
    </row>
    <row r="116" spans="1:34" x14ac:dyDescent="0.25">
      <c r="C116" s="126" t="s">
        <v>216</v>
      </c>
      <c r="D116" s="126">
        <v>6.0000000000000001E-3</v>
      </c>
      <c r="E116" s="126">
        <v>8.9999999999999993E-3</v>
      </c>
      <c r="F116" s="126">
        <v>0.88</v>
      </c>
      <c r="G116" s="1"/>
      <c r="H116" s="1"/>
      <c r="I116" s="1"/>
      <c r="J116" s="1"/>
      <c r="K116" s="1"/>
      <c r="M116" s="1"/>
      <c r="N116" s="1"/>
      <c r="O116" s="1"/>
      <c r="P116" s="1"/>
    </row>
    <row r="117" spans="1:34" x14ac:dyDescent="0.25">
      <c r="C117" s="126" t="s">
        <v>217</v>
      </c>
      <c r="D117" s="126">
        <v>6.0000000000000001E-3</v>
      </c>
      <c r="E117" s="126">
        <v>8.9999999999999993E-3</v>
      </c>
      <c r="F117" s="126">
        <v>0.89</v>
      </c>
      <c r="G117" s="1"/>
      <c r="H117" s="1"/>
      <c r="I117" s="1"/>
      <c r="J117" s="1"/>
      <c r="K117" s="1"/>
      <c r="M117" s="1"/>
      <c r="N117" s="1"/>
      <c r="O117" s="1"/>
      <c r="P117" s="1"/>
    </row>
    <row r="118" spans="1:34" x14ac:dyDescent="0.25">
      <c r="C118" s="126" t="s">
        <v>218</v>
      </c>
      <c r="D118" s="126">
        <v>6.0000000000000001E-3</v>
      </c>
      <c r="E118" s="126">
        <v>8.9999999999999993E-3</v>
      </c>
      <c r="F118" s="126">
        <v>0.89</v>
      </c>
      <c r="G118" s="1"/>
      <c r="H118" s="1"/>
      <c r="I118" s="1"/>
      <c r="J118" s="1"/>
      <c r="K118" s="1"/>
      <c r="M118" s="1"/>
      <c r="N118" s="1"/>
      <c r="O118" s="1"/>
      <c r="P118" s="1"/>
    </row>
    <row r="119" spans="1:34" x14ac:dyDescent="0.25">
      <c r="C119" s="126" t="s">
        <v>51</v>
      </c>
      <c r="D119" s="126">
        <v>7.0000000000000001E-3</v>
      </c>
      <c r="E119" s="126">
        <v>1.4E-2</v>
      </c>
      <c r="F119" s="126">
        <v>0.89</v>
      </c>
      <c r="G119" s="1"/>
      <c r="H119" s="1"/>
      <c r="I119" s="1"/>
      <c r="J119" s="1"/>
      <c r="K119" s="1"/>
      <c r="M119" s="1"/>
      <c r="N119" s="1"/>
      <c r="O119" s="1"/>
      <c r="P119" s="1"/>
    </row>
    <row r="120" spans="1:34" x14ac:dyDescent="0.25">
      <c r="C120" s="126" t="s">
        <v>219</v>
      </c>
      <c r="D120" s="126">
        <v>7.0000000000000001E-3</v>
      </c>
      <c r="E120" s="126">
        <v>8.0000000000000002E-3</v>
      </c>
      <c r="F120" s="126">
        <v>0.89</v>
      </c>
      <c r="G120" s="1"/>
      <c r="H120" s="1"/>
      <c r="I120" s="1"/>
      <c r="J120" s="1"/>
      <c r="K120" s="1"/>
      <c r="M120" s="1"/>
      <c r="N120" s="1"/>
      <c r="O120" s="1"/>
      <c r="P120" s="1"/>
    </row>
    <row r="121" spans="1:34" x14ac:dyDescent="0.25">
      <c r="C121" s="126" t="s">
        <v>220</v>
      </c>
      <c r="D121" s="126">
        <v>6.0000000000000001E-3</v>
      </c>
      <c r="E121" s="126">
        <v>7.0000000000000001E-3</v>
      </c>
      <c r="F121" s="126">
        <v>0.87</v>
      </c>
      <c r="G121" s="1"/>
      <c r="H121" s="1"/>
      <c r="I121" s="1"/>
      <c r="J121" s="1"/>
      <c r="K121" s="1"/>
      <c r="M121" s="1"/>
      <c r="N121" s="1"/>
      <c r="O121" s="1"/>
      <c r="P121" s="1"/>
    </row>
    <row r="122" spans="1:34" x14ac:dyDescent="0.25">
      <c r="C122" s="126" t="s">
        <v>221</v>
      </c>
      <c r="D122" s="126">
        <v>5.0000000000000001E-3</v>
      </c>
      <c r="E122" s="126">
        <v>0.11</v>
      </c>
      <c r="F122" s="126">
        <v>0.88</v>
      </c>
      <c r="G122" s="1"/>
      <c r="H122" s="1"/>
      <c r="I122" s="1"/>
      <c r="J122" s="1"/>
      <c r="K122" s="1"/>
      <c r="M122" s="1"/>
      <c r="N122" s="1"/>
      <c r="O122" s="1"/>
      <c r="P122" s="1"/>
    </row>
    <row r="123" spans="1:34" x14ac:dyDescent="0.25">
      <c r="C123" s="126" t="s">
        <v>222</v>
      </c>
      <c r="D123" s="126">
        <v>7.0000000000000001E-3</v>
      </c>
      <c r="E123" s="126">
        <v>8.9999999999999993E-3</v>
      </c>
      <c r="F123" s="126">
        <v>0.89</v>
      </c>
      <c r="G123" s="1"/>
      <c r="H123" s="1"/>
      <c r="I123" s="1"/>
      <c r="J123" s="1"/>
      <c r="K123" s="1"/>
      <c r="M123" s="1"/>
      <c r="N123" s="1"/>
      <c r="O123" s="1"/>
      <c r="P123" s="1"/>
    </row>
    <row r="124" spans="1:34" x14ac:dyDescent="0.25">
      <c r="C124" s="126" t="s">
        <v>223</v>
      </c>
      <c r="D124" s="126">
        <v>7.0000000000000001E-3</v>
      </c>
      <c r="E124" s="126">
        <v>8.9999999999999993E-3</v>
      </c>
      <c r="F124" s="126">
        <v>0.9</v>
      </c>
      <c r="G124" s="1"/>
      <c r="H124" s="1"/>
      <c r="I124" s="1"/>
      <c r="J124" s="1"/>
      <c r="K124" s="1"/>
      <c r="M124" s="1"/>
      <c r="N124" s="1"/>
      <c r="O124" s="1"/>
      <c r="P124" s="1"/>
    </row>
    <row r="125" spans="1:34" x14ac:dyDescent="0.25">
      <c r="C125" s="126" t="s">
        <v>224</v>
      </c>
      <c r="D125" s="126">
        <v>7.0000000000000001E-3</v>
      </c>
      <c r="E125" s="126">
        <v>6.0000000000000001E-3</v>
      </c>
      <c r="F125" s="126">
        <v>0.89</v>
      </c>
      <c r="G125" s="1"/>
      <c r="H125" s="1"/>
      <c r="I125" s="1"/>
      <c r="J125" s="1"/>
      <c r="K125" s="1"/>
      <c r="M125" s="1"/>
      <c r="N125" s="1"/>
      <c r="O125" s="1"/>
      <c r="P125" s="1"/>
    </row>
    <row r="126" spans="1:34" x14ac:dyDescent="0.25">
      <c r="C126" s="126" t="s">
        <v>57</v>
      </c>
      <c r="D126" s="126">
        <v>8.0000000000000002E-3</v>
      </c>
      <c r="E126" s="126">
        <v>8.0000000000000002E-3</v>
      </c>
      <c r="F126" s="126">
        <v>0.91</v>
      </c>
      <c r="G126" s="1"/>
      <c r="H126" s="1"/>
      <c r="I126" s="1"/>
      <c r="J126" s="1"/>
      <c r="K126" s="1"/>
      <c r="M126" s="1"/>
      <c r="N126" s="1"/>
      <c r="O126" s="1"/>
      <c r="P126" s="1"/>
    </row>
    <row r="127" spans="1:34" x14ac:dyDescent="0.25">
      <c r="C127" s="126" t="s">
        <v>225</v>
      </c>
      <c r="D127" s="126">
        <v>8.0000000000000002E-3</v>
      </c>
      <c r="E127" s="126">
        <v>8.0000000000000002E-3</v>
      </c>
      <c r="F127" s="126">
        <v>0.91</v>
      </c>
      <c r="G127" s="1"/>
      <c r="H127" s="1"/>
      <c r="I127" s="1"/>
      <c r="J127" s="1"/>
      <c r="K127" s="1"/>
      <c r="M127" s="1"/>
      <c r="N127" s="1"/>
      <c r="O127" s="1"/>
      <c r="P127" s="1"/>
    </row>
    <row r="128" spans="1:34" x14ac:dyDescent="0.25">
      <c r="C128" s="126" t="s">
        <v>226</v>
      </c>
      <c r="D128" s="126">
        <v>1.9E-2</v>
      </c>
      <c r="E128" s="126">
        <v>1.4E-2</v>
      </c>
      <c r="F128" s="126">
        <v>0.22</v>
      </c>
      <c r="G128" s="1"/>
      <c r="H128" s="1"/>
      <c r="I128" s="1"/>
      <c r="J128" s="1"/>
      <c r="K128" s="1"/>
      <c r="M128" s="1"/>
      <c r="N128" s="1"/>
      <c r="O128" s="1"/>
      <c r="P128" s="1"/>
    </row>
    <row r="129" spans="3:16" x14ac:dyDescent="0.25">
      <c r="C129" s="126" t="s">
        <v>227</v>
      </c>
      <c r="D129" s="126">
        <v>1.6E-2</v>
      </c>
      <c r="E129" s="126">
        <v>1.4E-2</v>
      </c>
      <c r="F129" s="126">
        <v>0.94</v>
      </c>
      <c r="G129" s="1"/>
      <c r="H129" s="1"/>
      <c r="I129" s="1"/>
      <c r="J129" s="1"/>
      <c r="K129" s="1"/>
      <c r="M129" s="1"/>
      <c r="N129" s="1"/>
      <c r="O129" s="1"/>
      <c r="P129" s="1"/>
    </row>
    <row r="130" spans="3:16" x14ac:dyDescent="0.25">
      <c r="C130" s="126" t="s">
        <v>228</v>
      </c>
      <c r="D130" s="126">
        <v>2.7E-2</v>
      </c>
      <c r="E130" s="126">
        <v>1.9E-2</v>
      </c>
      <c r="F130" s="126">
        <v>0.9</v>
      </c>
      <c r="G130" s="1"/>
      <c r="H130" s="1"/>
      <c r="I130" s="1"/>
      <c r="J130" s="1"/>
      <c r="K130" s="1"/>
      <c r="M130" s="1"/>
      <c r="N130" s="1"/>
      <c r="O130" s="1"/>
      <c r="P130" s="1"/>
    </row>
    <row r="131" spans="3:16" x14ac:dyDescent="0.25">
      <c r="C131" s="126" t="s">
        <v>229</v>
      </c>
      <c r="D131" s="126">
        <v>1.4999999999999999E-2</v>
      </c>
      <c r="E131" s="126">
        <v>1.2E-2</v>
      </c>
      <c r="F131" s="126">
        <v>0.9</v>
      </c>
      <c r="G131" s="1"/>
      <c r="H131" s="1"/>
      <c r="I131" s="1"/>
      <c r="J131" s="1"/>
      <c r="K131" s="1"/>
      <c r="M131" s="1"/>
      <c r="N131" s="1"/>
      <c r="O131" s="1"/>
      <c r="P131" s="1"/>
    </row>
    <row r="132" spans="3:16" x14ac:dyDescent="0.25">
      <c r="C132" s="126" t="s">
        <v>230</v>
      </c>
      <c r="D132" s="126">
        <v>2.7E-2</v>
      </c>
      <c r="E132" s="126">
        <v>2.1999999999999999E-2</v>
      </c>
      <c r="F132" s="126">
        <v>0.9</v>
      </c>
      <c r="G132" s="1"/>
      <c r="H132" s="1"/>
      <c r="I132" s="1"/>
      <c r="J132" s="1"/>
      <c r="K132" s="1"/>
      <c r="M132" s="1"/>
      <c r="N132" s="1"/>
      <c r="O132" s="1"/>
      <c r="P132" s="1"/>
    </row>
    <row r="133" spans="3:16" x14ac:dyDescent="0.25">
      <c r="C133" s="126" t="s">
        <v>231</v>
      </c>
      <c r="D133" s="126">
        <v>1.4999999999999999E-2</v>
      </c>
      <c r="E133" s="126">
        <v>1.2E-2</v>
      </c>
      <c r="F133" s="126">
        <v>0.9</v>
      </c>
      <c r="G133" s="1"/>
      <c r="H133" s="1"/>
      <c r="I133" s="1"/>
      <c r="J133" s="1"/>
      <c r="K133" s="1"/>
      <c r="M133" s="1"/>
      <c r="N133" s="1"/>
      <c r="O133" s="1"/>
      <c r="P133" s="1"/>
    </row>
    <row r="134" spans="3:16" x14ac:dyDescent="0.25">
      <c r="C134" s="126" t="s">
        <v>232</v>
      </c>
      <c r="D134" s="126">
        <v>1.4999999999999999E-2</v>
      </c>
      <c r="E134" s="126">
        <v>1.2E-2</v>
      </c>
      <c r="F134" s="126">
        <v>0.9</v>
      </c>
      <c r="G134" s="1"/>
      <c r="H134" s="1"/>
      <c r="I134" s="1"/>
      <c r="J134" s="1"/>
      <c r="K134" s="1"/>
      <c r="M134" s="1"/>
      <c r="N134" s="1"/>
      <c r="O134" s="1"/>
      <c r="P134" s="1"/>
    </row>
    <row r="135" spans="3:16" x14ac:dyDescent="0.25">
      <c r="C135" s="126" t="s">
        <v>54</v>
      </c>
      <c r="D135" s="126">
        <v>2.5000000000000001E-2</v>
      </c>
      <c r="E135" s="126">
        <v>1.6E-2</v>
      </c>
      <c r="F135" s="126">
        <v>0.9</v>
      </c>
      <c r="G135" s="1"/>
      <c r="H135" s="1"/>
      <c r="I135" s="1"/>
      <c r="J135" s="1"/>
      <c r="K135" s="1"/>
      <c r="M135" s="1"/>
      <c r="N135" s="1"/>
      <c r="O135" s="1"/>
      <c r="P135" s="1"/>
    </row>
    <row r="136" spans="3:16" x14ac:dyDescent="0.25">
      <c r="C136" s="1"/>
      <c r="D136" s="1"/>
      <c r="E136" s="1"/>
      <c r="F136" s="1"/>
      <c r="G136" s="1"/>
      <c r="H136" s="1"/>
      <c r="I136" s="1"/>
      <c r="J136" s="1"/>
      <c r="K136" s="1"/>
      <c r="M136" s="1"/>
      <c r="N136" s="1"/>
      <c r="O136" s="1"/>
      <c r="P136" s="1"/>
    </row>
    <row r="137" spans="3:16" x14ac:dyDescent="0.25">
      <c r="C137" s="1"/>
      <c r="D137" s="1"/>
      <c r="E137" s="1"/>
      <c r="F137" s="1"/>
      <c r="G137" s="1"/>
      <c r="H137" s="1"/>
      <c r="I137" s="1"/>
      <c r="J137" s="1"/>
      <c r="K137" s="1"/>
      <c r="M137" s="1"/>
      <c r="N137" s="1"/>
      <c r="O137" s="1"/>
      <c r="P137" s="1"/>
    </row>
    <row r="138" spans="3:16" x14ac:dyDescent="0.25">
      <c r="C138" s="1"/>
      <c r="D138" s="1"/>
      <c r="E138" s="1"/>
      <c r="F138" s="1"/>
      <c r="G138" s="1"/>
      <c r="H138" s="1"/>
      <c r="I138" s="1"/>
      <c r="J138" s="1"/>
      <c r="K138" s="1"/>
      <c r="M138" s="1"/>
      <c r="N138" s="1"/>
      <c r="O138" s="1"/>
      <c r="P138" s="1"/>
    </row>
    <row r="139" spans="3:16" x14ac:dyDescent="0.25">
      <c r="C139" s="1"/>
      <c r="D139" s="1"/>
      <c r="E139" s="1"/>
      <c r="F139" s="1"/>
      <c r="G139" s="1"/>
      <c r="H139" s="1"/>
      <c r="I139" s="1"/>
      <c r="J139" s="1"/>
      <c r="K139" s="1"/>
      <c r="M139" s="1"/>
      <c r="N139" s="1"/>
      <c r="O139" s="1"/>
      <c r="P139" s="1"/>
    </row>
    <row r="140" spans="3:16" x14ac:dyDescent="0.25">
      <c r="C140" s="1"/>
      <c r="D140" s="1"/>
      <c r="E140" s="1"/>
      <c r="F140" s="1"/>
      <c r="G140" s="1"/>
      <c r="H140" s="1"/>
      <c r="I140" s="1"/>
      <c r="J140" s="1"/>
      <c r="K140" s="1"/>
      <c r="M140" s="1"/>
      <c r="N140" s="1"/>
      <c r="O140" s="1"/>
      <c r="P140" s="1"/>
    </row>
    <row r="141" spans="3:16" x14ac:dyDescent="0.25">
      <c r="C141" s="1"/>
      <c r="D141" s="1"/>
      <c r="E141" s="1"/>
      <c r="F141" s="1"/>
      <c r="G141" s="1"/>
      <c r="H141" s="1"/>
      <c r="I141" s="1"/>
      <c r="J141" s="1"/>
      <c r="K141" s="1"/>
      <c r="M141" s="1"/>
      <c r="N141" s="1"/>
      <c r="O141" s="1"/>
      <c r="P141" s="1"/>
    </row>
    <row r="142" spans="3:16" x14ac:dyDescent="0.25">
      <c r="C142" s="1"/>
      <c r="D142" s="1"/>
      <c r="E142" s="1"/>
      <c r="F142" s="1"/>
      <c r="G142" s="1"/>
      <c r="H142" s="1"/>
      <c r="I142" s="1"/>
      <c r="J142" s="1"/>
      <c r="K142" s="1"/>
      <c r="M142" s="1"/>
      <c r="N142" s="1"/>
      <c r="O142" s="1"/>
      <c r="P142" s="1"/>
    </row>
    <row r="143" spans="3:16" x14ac:dyDescent="0.25">
      <c r="C143" s="1"/>
      <c r="D143" s="1"/>
      <c r="E143" s="1"/>
      <c r="F143" s="1"/>
      <c r="G143" s="1"/>
      <c r="H143" s="1"/>
      <c r="I143" s="1"/>
      <c r="J143" s="1"/>
      <c r="K143" s="1"/>
      <c r="M143" s="1"/>
      <c r="N143" s="1"/>
      <c r="O143" s="1"/>
      <c r="P143" s="1"/>
    </row>
    <row r="144" spans="3:16" x14ac:dyDescent="0.25">
      <c r="C144" s="1"/>
      <c r="D144" s="1"/>
      <c r="E144" s="1"/>
      <c r="F144" s="1"/>
      <c r="G144" s="1"/>
      <c r="H144" s="1"/>
      <c r="I144" s="1"/>
      <c r="J144" s="1"/>
      <c r="K144" s="1"/>
      <c r="M144" s="1"/>
      <c r="N144" s="1"/>
      <c r="O144" s="1"/>
      <c r="P144" s="1"/>
    </row>
    <row r="145" spans="3:16" x14ac:dyDescent="0.25">
      <c r="C145" s="1"/>
      <c r="D145" s="1"/>
      <c r="E145" s="1"/>
      <c r="F145" s="1"/>
      <c r="G145" s="1"/>
      <c r="H145" s="1"/>
      <c r="I145" s="1"/>
      <c r="J145" s="1"/>
      <c r="K145" s="1"/>
      <c r="M145" s="1"/>
      <c r="N145" s="1"/>
      <c r="O145" s="1"/>
      <c r="P145" s="1"/>
    </row>
    <row r="146" spans="3:16" x14ac:dyDescent="0.25">
      <c r="C146" s="1"/>
      <c r="D146" s="1"/>
      <c r="E146" s="1"/>
      <c r="F146" s="1"/>
      <c r="G146" s="1"/>
      <c r="H146" s="1"/>
      <c r="I146" s="1"/>
      <c r="J146" s="1"/>
      <c r="K146" s="1"/>
      <c r="M146" s="1"/>
      <c r="N146" s="1"/>
      <c r="O146" s="1"/>
      <c r="P146" s="1"/>
    </row>
    <row r="147" spans="3:16" x14ac:dyDescent="0.25">
      <c r="C147" s="1"/>
      <c r="D147" s="1"/>
      <c r="E147" s="1"/>
      <c r="F147" s="1"/>
      <c r="G147" s="1"/>
      <c r="H147" s="1"/>
      <c r="I147" s="1"/>
      <c r="J147" s="1"/>
      <c r="K147" s="1"/>
      <c r="M147" s="1"/>
      <c r="N147" s="1"/>
      <c r="O147" s="1"/>
      <c r="P147" s="1"/>
    </row>
    <row r="148" spans="3:16" x14ac:dyDescent="0.25">
      <c r="C148" s="1"/>
      <c r="D148" s="1"/>
      <c r="E148" s="1"/>
      <c r="F148" s="1"/>
      <c r="G148" s="1"/>
      <c r="H148" s="1"/>
      <c r="I148" s="1"/>
      <c r="J148" s="1"/>
      <c r="K148" s="1"/>
      <c r="M148" s="1"/>
      <c r="N148" s="1"/>
      <c r="O148" s="1"/>
      <c r="P148" s="1"/>
    </row>
    <row r="149" spans="3:16" x14ac:dyDescent="0.25">
      <c r="C149" s="1"/>
      <c r="D149" s="1"/>
      <c r="E149" s="1"/>
      <c r="F149" s="1"/>
      <c r="G149" s="1"/>
      <c r="H149" s="1"/>
      <c r="I149" s="1"/>
      <c r="J149" s="1"/>
      <c r="K149" s="1"/>
      <c r="M149" s="1"/>
      <c r="N149" s="1"/>
      <c r="O149" s="1"/>
      <c r="P149" s="1"/>
    </row>
    <row r="150" spans="3:16" x14ac:dyDescent="0.25">
      <c r="C150" s="1"/>
      <c r="D150" s="1"/>
      <c r="E150" s="1"/>
      <c r="F150" s="1"/>
      <c r="G150" s="1"/>
      <c r="H150" s="1"/>
      <c r="I150" s="1"/>
      <c r="J150" s="1"/>
      <c r="K150" s="1"/>
      <c r="M150" s="1"/>
      <c r="N150" s="1"/>
      <c r="O150" s="1"/>
      <c r="P150" s="1"/>
    </row>
    <row r="151" spans="3:16" x14ac:dyDescent="0.25">
      <c r="C151" s="1"/>
      <c r="D151" s="1"/>
      <c r="E151" s="1"/>
      <c r="F151" s="1"/>
      <c r="G151" s="1"/>
      <c r="H151" s="1"/>
      <c r="I151" s="1"/>
      <c r="J151" s="1"/>
      <c r="K151" s="1"/>
      <c r="M151" s="1"/>
      <c r="N151" s="1"/>
      <c r="O151" s="1"/>
      <c r="P151" s="1"/>
    </row>
    <row r="152" spans="3:16" x14ac:dyDescent="0.25">
      <c r="C152" s="1"/>
      <c r="D152" s="1"/>
      <c r="E152" s="1"/>
      <c r="F152" s="1"/>
      <c r="G152" s="1"/>
      <c r="H152" s="1"/>
      <c r="I152" s="1"/>
      <c r="J152" s="1"/>
      <c r="K152" s="1"/>
      <c r="M152" s="1"/>
      <c r="N152" s="1"/>
      <c r="O152" s="1"/>
      <c r="P152" s="1"/>
    </row>
    <row r="153" spans="3:16" x14ac:dyDescent="0.25">
      <c r="C153" s="1"/>
      <c r="D153" s="1"/>
      <c r="E153" s="1"/>
      <c r="F153" s="1"/>
      <c r="G153" s="1"/>
      <c r="H153" s="1"/>
      <c r="I153" s="1"/>
      <c r="J153" s="1"/>
      <c r="K153" s="1"/>
      <c r="M153" s="1"/>
      <c r="N153" s="1"/>
      <c r="O153" s="1"/>
      <c r="P153" s="1"/>
    </row>
    <row r="154" spans="3:16" x14ac:dyDescent="0.25">
      <c r="C154" s="1"/>
      <c r="D154" s="1"/>
      <c r="E154" s="1"/>
      <c r="F154" s="1"/>
      <c r="G154" s="1"/>
      <c r="H154" s="1"/>
      <c r="I154" s="1"/>
      <c r="J154" s="1"/>
      <c r="K154" s="1"/>
      <c r="M154" s="1"/>
      <c r="N154" s="1"/>
      <c r="O154" s="1"/>
      <c r="P154" s="1"/>
    </row>
    <row r="155" spans="3:16" x14ac:dyDescent="0.25">
      <c r="C155" s="1"/>
      <c r="D155" s="1"/>
      <c r="E155" s="1"/>
      <c r="F155" s="1"/>
      <c r="G155" s="1"/>
      <c r="H155" s="1"/>
      <c r="I155" s="1"/>
      <c r="J155" s="1"/>
      <c r="K155" s="1"/>
      <c r="M155" s="1"/>
      <c r="N155" s="1"/>
      <c r="O155" s="1"/>
      <c r="P155" s="1"/>
    </row>
    <row r="156" spans="3:16" x14ac:dyDescent="0.25">
      <c r="C156" s="1"/>
      <c r="D156" s="1"/>
      <c r="E156" s="1"/>
      <c r="F156" s="1"/>
      <c r="G156" s="1"/>
      <c r="H156" s="1"/>
      <c r="I156" s="1"/>
      <c r="J156" s="1"/>
      <c r="K156" s="1"/>
      <c r="M156" s="1"/>
      <c r="N156" s="1"/>
      <c r="O156" s="1"/>
      <c r="P156" s="1"/>
    </row>
    <row r="157" spans="3:16" x14ac:dyDescent="0.25">
      <c r="C157" s="1"/>
      <c r="D157" s="1"/>
      <c r="E157" s="1"/>
      <c r="F157" s="1"/>
      <c r="G157" s="1"/>
      <c r="H157" s="1"/>
      <c r="I157" s="1"/>
      <c r="J157" s="1"/>
      <c r="K157" s="1"/>
      <c r="M157" s="1"/>
      <c r="N157" s="1"/>
      <c r="O157" s="1"/>
      <c r="P157" s="1"/>
    </row>
    <row r="158" spans="3:16" x14ac:dyDescent="0.25">
      <c r="C158" s="1"/>
      <c r="D158" s="1"/>
      <c r="E158" s="1"/>
      <c r="F158" s="1"/>
      <c r="G158" s="1"/>
      <c r="H158" s="1"/>
      <c r="I158" s="1"/>
      <c r="J158" s="1"/>
      <c r="K158" s="1"/>
      <c r="M158" s="1"/>
      <c r="N158" s="1"/>
      <c r="O158" s="1"/>
      <c r="P158" s="1"/>
    </row>
    <row r="159" spans="3:16" x14ac:dyDescent="0.25">
      <c r="C159" s="1"/>
      <c r="D159" s="1"/>
      <c r="E159" s="1"/>
      <c r="F159" s="1"/>
      <c r="G159" s="1"/>
      <c r="H159" s="1"/>
      <c r="I159" s="1"/>
      <c r="J159" s="1"/>
      <c r="K159" s="1"/>
      <c r="M159" s="1"/>
      <c r="N159" s="1"/>
      <c r="O159" s="1"/>
      <c r="P159" s="1"/>
    </row>
    <row r="160" spans="3:16" x14ac:dyDescent="0.25">
      <c r="C160" s="1"/>
      <c r="D160" s="1"/>
      <c r="E160" s="1"/>
      <c r="F160" s="1"/>
      <c r="G160" s="1"/>
      <c r="H160" s="1"/>
      <c r="I160" s="1"/>
      <c r="J160" s="1"/>
      <c r="K160" s="1"/>
      <c r="M160" s="1"/>
      <c r="N160" s="1"/>
      <c r="O160" s="1"/>
      <c r="P160" s="1"/>
    </row>
    <row r="161" spans="3:16" x14ac:dyDescent="0.25">
      <c r="C161" s="1"/>
      <c r="D161" s="1"/>
      <c r="E161" s="1"/>
      <c r="F161" s="1"/>
      <c r="G161" s="1"/>
      <c r="H161" s="1"/>
      <c r="I161" s="1"/>
      <c r="J161" s="1"/>
      <c r="K161" s="1"/>
      <c r="M161" s="1"/>
      <c r="N161" s="1"/>
      <c r="O161" s="1"/>
      <c r="P161" s="1"/>
    </row>
    <row r="162" spans="3:16" x14ac:dyDescent="0.25">
      <c r="C162" s="1"/>
      <c r="D162" s="1"/>
      <c r="E162" s="1"/>
      <c r="F162" s="1"/>
      <c r="G162" s="1"/>
      <c r="H162" s="1"/>
      <c r="I162" s="1"/>
      <c r="J162" s="1"/>
      <c r="K162" s="1"/>
      <c r="M162" s="1"/>
      <c r="N162" s="1"/>
      <c r="O162" s="1"/>
      <c r="P162" s="1"/>
    </row>
    <row r="163" spans="3:16" x14ac:dyDescent="0.25">
      <c r="C163" s="1"/>
      <c r="D163" s="1"/>
      <c r="E163" s="1"/>
      <c r="F163" s="1"/>
      <c r="G163" s="1"/>
      <c r="H163" s="1"/>
      <c r="I163" s="1"/>
      <c r="J163" s="1"/>
      <c r="K163" s="1"/>
      <c r="M163" s="1"/>
      <c r="N163" s="1"/>
      <c r="O163" s="1"/>
      <c r="P163" s="1"/>
    </row>
    <row r="164" spans="3:16" x14ac:dyDescent="0.25">
      <c r="M164" s="1"/>
      <c r="N164" s="1"/>
      <c r="O164" s="1"/>
      <c r="P164" s="1"/>
    </row>
    <row r="165" spans="3:16" x14ac:dyDescent="0.25">
      <c r="M165" s="1"/>
      <c r="N165" s="1"/>
      <c r="O165" s="1"/>
      <c r="P165" s="1"/>
    </row>
    <row r="166" spans="3:16" x14ac:dyDescent="0.25">
      <c r="M166" s="1"/>
      <c r="N166" s="1"/>
      <c r="O166" s="1"/>
      <c r="P166" s="1"/>
    </row>
    <row r="167" spans="3:16" x14ac:dyDescent="0.25">
      <c r="M167" s="1"/>
      <c r="N167" s="1"/>
      <c r="O167" s="1"/>
      <c r="P167" s="1"/>
    </row>
    <row r="168" spans="3:16" x14ac:dyDescent="0.25">
      <c r="M168" s="1"/>
      <c r="N168" s="1"/>
      <c r="O168" s="1"/>
      <c r="P168" s="1"/>
    </row>
    <row r="169" spans="3:16" x14ac:dyDescent="0.25">
      <c r="M169" s="1"/>
      <c r="N169" s="1"/>
      <c r="O169" s="1"/>
      <c r="P169" s="1"/>
    </row>
    <row r="170" spans="3:16" x14ac:dyDescent="0.25">
      <c r="M170" s="1"/>
      <c r="N170" s="1"/>
      <c r="O170" s="1"/>
      <c r="P170" s="1"/>
    </row>
    <row r="171" spans="3:16" x14ac:dyDescent="0.25">
      <c r="M171" s="1"/>
      <c r="N171" s="1"/>
      <c r="O171" s="1"/>
      <c r="P171" s="1"/>
    </row>
  </sheetData>
  <sheetProtection algorithmName="SHA-512" hashValue="6lqQzgaYdXQfCF+iatP+f6+Ac0h9zHPv1uz4+CjQEfoys7ytaAvp5vWgFZG77yJOHnXmjlNzijzJ6uqE2NJ6xg==" saltValue="xp5c+YFdO9bciBeYnacGhw==" spinCount="100000" sheet="1" objects="1" scenarios="1"/>
  <mergeCells count="23">
    <mergeCell ref="M3:P3"/>
    <mergeCell ref="M11:O11"/>
    <mergeCell ref="D32:J32"/>
    <mergeCell ref="D19:J19"/>
    <mergeCell ref="C72:I72"/>
    <mergeCell ref="D45:J45"/>
    <mergeCell ref="D56:J56"/>
    <mergeCell ref="C69:J69"/>
    <mergeCell ref="C70:I70"/>
    <mergeCell ref="C71:I71"/>
    <mergeCell ref="C113:J113"/>
    <mergeCell ref="C85:J85"/>
    <mergeCell ref="C89:J89"/>
    <mergeCell ref="C3:C8"/>
    <mergeCell ref="C9:C13"/>
    <mergeCell ref="C73:I73"/>
    <mergeCell ref="C74:I74"/>
    <mergeCell ref="C79:J80"/>
    <mergeCell ref="C92:J92"/>
    <mergeCell ref="C96:J96"/>
    <mergeCell ref="C100:J100"/>
    <mergeCell ref="C105:F105"/>
    <mergeCell ref="C106:D106"/>
  </mergeCells>
  <hyperlinks>
    <hyperlink ref="C104" r:id="rId1" xr:uid="{00000000-0004-0000-0400-000000000000}"/>
  </hyperlinks>
  <pageMargins left="0.511811024" right="0.511811024" top="0.78740157499999996" bottom="0.78740157499999996" header="0.31496062000000002" footer="0.31496062000000002"/>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88"/>
  <sheetViews>
    <sheetView topLeftCell="B1" zoomScale="70" zoomScaleNormal="70" workbookViewId="0">
      <selection activeCell="C3" sqref="C3:Q5"/>
    </sheetView>
  </sheetViews>
  <sheetFormatPr defaultColWidth="0" defaultRowHeight="13.2" x14ac:dyDescent="0.25"/>
  <cols>
    <col min="1" max="1" width="0" style="160" hidden="1" customWidth="1"/>
    <col min="2" max="2" width="4.6640625" style="160" customWidth="1"/>
    <col min="3" max="3" width="19.5546875" style="160" customWidth="1"/>
    <col min="4" max="4" width="17.6640625" style="160" customWidth="1"/>
    <col min="5" max="5" width="18.44140625" style="160" customWidth="1"/>
    <col min="6" max="6" width="15.5546875" style="160" customWidth="1"/>
    <col min="7" max="7" width="18.5546875" style="160" customWidth="1"/>
    <col min="8" max="8" width="21.88671875" style="160" customWidth="1"/>
    <col min="9" max="9" width="22.5546875" style="160" customWidth="1"/>
    <col min="10" max="10" width="17.6640625" style="153" customWidth="1"/>
    <col min="11" max="11" width="22.109375" style="160" customWidth="1"/>
    <col min="12" max="12" width="18.5546875" style="160" customWidth="1"/>
    <col min="13" max="13" width="19.44140625" style="160" customWidth="1"/>
    <col min="14" max="17" width="13.5546875" style="160" customWidth="1"/>
    <col min="18" max="18" width="9.109375" style="160" customWidth="1"/>
    <col min="19" max="19" width="25.6640625" style="160" customWidth="1"/>
    <col min="20" max="20" width="22.88671875" style="160" customWidth="1"/>
    <col min="21" max="21" width="18.44140625" style="160" customWidth="1"/>
    <col min="22" max="22" width="11.88671875" style="160" customWidth="1"/>
    <col min="23" max="23" width="22" style="160" customWidth="1"/>
    <col min="24" max="24" width="22.6640625" style="160" customWidth="1"/>
    <col min="25" max="25" width="12.5546875" style="160" bestFit="1" customWidth="1"/>
    <col min="26" max="26" width="9.109375" style="160" customWidth="1"/>
    <col min="27" max="27" width="23.6640625" style="160" customWidth="1"/>
    <col min="28" max="28" width="26.6640625" style="160" customWidth="1"/>
    <col min="29" max="29" width="24.33203125" style="160" customWidth="1"/>
    <col min="30" max="30" width="9.109375" style="160" customWidth="1"/>
    <col min="31" max="16384" width="9.109375" style="160" hidden="1"/>
  </cols>
  <sheetData>
    <row r="1" spans="1:21" s="200" customFormat="1" x14ac:dyDescent="0.25">
      <c r="A1" s="199"/>
      <c r="J1" s="184"/>
    </row>
    <row r="2" spans="1:21" ht="13.8" thickBot="1" x14ac:dyDescent="0.3">
      <c r="A2" s="201"/>
      <c r="J2" s="160"/>
    </row>
    <row r="3" spans="1:21" x14ac:dyDescent="0.25">
      <c r="A3" s="201"/>
      <c r="C3" s="377" t="s">
        <v>8</v>
      </c>
      <c r="D3" s="378"/>
      <c r="E3" s="378"/>
      <c r="F3" s="378"/>
      <c r="G3" s="378"/>
      <c r="H3" s="378"/>
      <c r="I3" s="378"/>
      <c r="J3" s="378"/>
      <c r="K3" s="378"/>
      <c r="L3" s="378"/>
      <c r="M3" s="378"/>
      <c r="N3" s="378"/>
      <c r="O3" s="378"/>
      <c r="P3" s="378"/>
      <c r="Q3" s="379"/>
    </row>
    <row r="4" spans="1:21" x14ac:dyDescent="0.25">
      <c r="A4" s="201"/>
      <c r="C4" s="380"/>
      <c r="D4" s="381"/>
      <c r="E4" s="381"/>
      <c r="F4" s="381"/>
      <c r="G4" s="381"/>
      <c r="H4" s="381"/>
      <c r="I4" s="381"/>
      <c r="J4" s="381"/>
      <c r="K4" s="381"/>
      <c r="L4" s="381"/>
      <c r="M4" s="381"/>
      <c r="N4" s="381"/>
      <c r="O4" s="381"/>
      <c r="P4" s="381"/>
      <c r="Q4" s="382"/>
    </row>
    <row r="5" spans="1:21" ht="13.8" thickBot="1" x14ac:dyDescent="0.3">
      <c r="A5" s="201"/>
      <c r="C5" s="383"/>
      <c r="D5" s="384"/>
      <c r="E5" s="384"/>
      <c r="F5" s="384"/>
      <c r="G5" s="384"/>
      <c r="H5" s="384"/>
      <c r="I5" s="384"/>
      <c r="J5" s="384"/>
      <c r="K5" s="384"/>
      <c r="L5" s="384"/>
      <c r="M5" s="384"/>
      <c r="N5" s="384"/>
      <c r="O5" s="384"/>
      <c r="P5" s="384"/>
      <c r="Q5" s="385"/>
    </row>
    <row r="6" spans="1:21" ht="13.8" thickBot="1" x14ac:dyDescent="0.3">
      <c r="A6" s="201"/>
      <c r="J6" s="160"/>
    </row>
    <row r="7" spans="1:21" ht="27" thickBot="1" x14ac:dyDescent="0.3">
      <c r="A7" s="201"/>
      <c r="C7" s="386" t="s">
        <v>3</v>
      </c>
      <c r="D7" s="387"/>
      <c r="E7" s="387"/>
      <c r="F7" s="387"/>
      <c r="G7" s="387"/>
      <c r="H7" s="387"/>
      <c r="I7" s="387"/>
      <c r="J7" s="387"/>
      <c r="K7" s="387"/>
      <c r="L7" s="387"/>
      <c r="M7" s="387"/>
      <c r="N7" s="387"/>
      <c r="O7" s="387"/>
      <c r="P7" s="387"/>
      <c r="Q7" s="388"/>
    </row>
    <row r="8" spans="1:21" x14ac:dyDescent="0.25">
      <c r="A8" s="201"/>
    </row>
    <row r="9" spans="1:21" ht="52.5" customHeight="1" x14ac:dyDescent="0.25">
      <c r="A9" s="201"/>
      <c r="C9" s="155" t="s">
        <v>128</v>
      </c>
      <c r="D9" s="159" t="s">
        <v>233</v>
      </c>
      <c r="E9" s="156" t="s">
        <v>234</v>
      </c>
      <c r="F9" s="156" t="s">
        <v>235</v>
      </c>
      <c r="G9" s="156" t="s">
        <v>236</v>
      </c>
      <c r="H9" s="157" t="s">
        <v>237</v>
      </c>
      <c r="I9" s="157" t="s">
        <v>238</v>
      </c>
      <c r="J9" s="155" t="s">
        <v>239</v>
      </c>
      <c r="K9" s="155" t="s">
        <v>240</v>
      </c>
      <c r="L9" s="155" t="s">
        <v>241</v>
      </c>
      <c r="M9" s="155" t="s">
        <v>242</v>
      </c>
      <c r="N9" s="158" t="s">
        <v>243</v>
      </c>
      <c r="O9" s="158" t="s">
        <v>244</v>
      </c>
      <c r="P9" s="158" t="s">
        <v>245</v>
      </c>
      <c r="Q9" s="158" t="s">
        <v>246</v>
      </c>
      <c r="S9" s="221" t="s">
        <v>247</v>
      </c>
      <c r="T9" s="221" t="s">
        <v>248</v>
      </c>
      <c r="U9" s="149" t="s">
        <v>249</v>
      </c>
    </row>
    <row r="10" spans="1:21" x14ac:dyDescent="0.25">
      <c r="A10" s="201"/>
      <c r="C10" s="196" t="str">
        <f>'Data Input'!E10</f>
        <v>Gasoline</v>
      </c>
      <c r="D10" s="161">
        <v>1E-3</v>
      </c>
      <c r="E10" s="161">
        <f>IFERROR(IF($C$10="","",VLOOKUP($C$10,'Emission Factors'!$D$3:$K$8,2,0)),0)</f>
        <v>4.2500000000000003E-2</v>
      </c>
      <c r="F10" s="161">
        <f>IFERROR(IF($C$10="","",VLOOKUP($C$10,'Emission Factors'!$D$3:$K$8,3,0)),0)</f>
        <v>68.900000000000006</v>
      </c>
      <c r="G10" s="202">
        <v>1</v>
      </c>
      <c r="H10" s="161">
        <f>IFERROR(IF($C$10="","",VLOOKUP($C$10,'Emission Factors'!$D$3:$K$8,5,0)),0)</f>
        <v>2.3300000000000001E-2</v>
      </c>
      <c r="I10" s="161">
        <f>IFERROR(IF($C$10="","",VLOOKUP($C$10,'Emission Factors'!$D$3:$K$8,7,0)),0)</f>
        <v>6.0000000000000001E-3</v>
      </c>
      <c r="J10" s="203">
        <f>'Data Input'!F10</f>
        <v>0</v>
      </c>
      <c r="K10" s="161" t="str">
        <f>'Data Input'!G10</f>
        <v>liters</v>
      </c>
      <c r="L10" s="161">
        <f>IFERROR(VLOOKUP(C10,'Emission Factors'!$M$4:$P$10,2,0),0)</f>
        <v>0.84799999999999998</v>
      </c>
      <c r="M10" s="161">
        <f>IFERROR(IF(K10="liters",J10*L10,IF(K10="m3",J10*L10*1000,"")),0)</f>
        <v>0</v>
      </c>
      <c r="N10" s="161">
        <f>IFERROR(M10*D10*E10*F10*G10,0)</f>
        <v>0</v>
      </c>
      <c r="O10" s="161">
        <f>IFERROR(M10*D10*E10*H10*G10,0)</f>
        <v>0</v>
      </c>
      <c r="P10" s="161">
        <f>IFERROR(M10*D10*E10*I10*G10,0)</f>
        <v>0</v>
      </c>
      <c r="Q10" s="161">
        <f>IFERROR(N10+O10*'Emission Factors'!N13+P10*'Emission Factors'!N14,0)</f>
        <v>0</v>
      </c>
      <c r="S10" s="196">
        <f>Q10+Q13</f>
        <v>0</v>
      </c>
      <c r="T10" s="196">
        <f>Q18+Q21</f>
        <v>7.7550976361199995</v>
      </c>
      <c r="U10" s="196">
        <f>IF(T10-S10&lt;0,0,T10-S10)</f>
        <v>7.7550976361199995</v>
      </c>
    </row>
    <row r="11" spans="1:21" x14ac:dyDescent="0.25">
      <c r="A11" s="201"/>
    </row>
    <row r="12" spans="1:21" ht="45" customHeight="1" x14ac:dyDescent="0.25">
      <c r="A12" s="201"/>
      <c r="C12" s="155" t="s">
        <v>143</v>
      </c>
      <c r="D12" s="159" t="s">
        <v>233</v>
      </c>
      <c r="E12" s="156" t="s">
        <v>234</v>
      </c>
      <c r="F12" s="156" t="s">
        <v>250</v>
      </c>
      <c r="G12" s="156" t="s">
        <v>236</v>
      </c>
      <c r="H12" s="157" t="s">
        <v>237</v>
      </c>
      <c r="I12" s="157" t="s">
        <v>238</v>
      </c>
      <c r="J12" s="155" t="s">
        <v>239</v>
      </c>
      <c r="K12" s="155" t="s">
        <v>240</v>
      </c>
      <c r="L12" s="155" t="s">
        <v>251</v>
      </c>
      <c r="M12" s="155" t="s">
        <v>242</v>
      </c>
      <c r="N12" s="158" t="s">
        <v>252</v>
      </c>
      <c r="O12" s="158" t="s">
        <v>253</v>
      </c>
      <c r="P12" s="158" t="s">
        <v>245</v>
      </c>
      <c r="Q12" s="158" t="s">
        <v>254</v>
      </c>
    </row>
    <row r="13" spans="1:21" x14ac:dyDescent="0.25">
      <c r="A13" s="201"/>
      <c r="C13" s="196" t="str">
        <f>'Data Input'!E13</f>
        <v>Gasoline</v>
      </c>
      <c r="D13" s="161">
        <v>1E-3</v>
      </c>
      <c r="E13" s="161">
        <f>IFERROR(IF($C$13="","",VLOOKUP($C$13,'Emission Factors'!$D$9:$K$13,2,0)),0)</f>
        <v>4.2500000000000003E-2</v>
      </c>
      <c r="F13" s="161">
        <f>IFERROR(IF($C$13="","",VLOOKUP($C$13,'Emission Factors'!$D$9:$K$13,3,0)),0)</f>
        <v>69.3</v>
      </c>
      <c r="G13" s="202">
        <v>1</v>
      </c>
      <c r="H13" s="161">
        <f>IFERROR(IF($C$13="","",VLOOKUP($C$13,'Emission Factors'!$D$9:$K$13,5,0)),0)</f>
        <v>0.01</v>
      </c>
      <c r="I13" s="161">
        <f>IFERROR(IF($C$13="","",VLOOKUP($C$13,'Emission Factors'!$D$9:$K$13,7,0)),0)</f>
        <v>5.9999999999999995E-4</v>
      </c>
      <c r="J13" s="203">
        <f>'Data Input'!F13</f>
        <v>0</v>
      </c>
      <c r="K13" s="161" t="str">
        <f>'Data Input'!G13</f>
        <v>liters</v>
      </c>
      <c r="L13" s="161">
        <f>IFERROR(VLOOKUP(C13,'Emission Factors'!$M$4:$P$10,2,0),0)</f>
        <v>0.84799999999999998</v>
      </c>
      <c r="M13" s="161">
        <f>IFERROR(IF(K13="liters",J13*L13,IF(K13="m3",J13*L13*1000,"")),0)</f>
        <v>0</v>
      </c>
      <c r="N13" s="161">
        <f>IFERROR(M13*D13*E13*F13*G13,0)</f>
        <v>0</v>
      </c>
      <c r="O13" s="161">
        <f>IFERROR(M13*D13*E13*H13*G13,0)</f>
        <v>0</v>
      </c>
      <c r="P13" s="161">
        <f>IFERROR(M13*D13*E13*I13*G13,0)</f>
        <v>0</v>
      </c>
      <c r="Q13" s="161">
        <f>IFERROR(N13+O13*'Emission Factors'!N13+P13*'Emission Factors'!N14,0)</f>
        <v>0</v>
      </c>
    </row>
    <row r="14" spans="1:21" ht="13.8" thickBot="1" x14ac:dyDescent="0.3">
      <c r="A14" s="201"/>
    </row>
    <row r="15" spans="1:21" ht="27" thickBot="1" x14ac:dyDescent="0.3">
      <c r="A15" s="201"/>
      <c r="C15" s="392" t="s">
        <v>4</v>
      </c>
      <c r="D15" s="393"/>
      <c r="E15" s="393"/>
      <c r="F15" s="393"/>
      <c r="G15" s="393"/>
      <c r="H15" s="393"/>
      <c r="I15" s="393"/>
      <c r="J15" s="393"/>
      <c r="K15" s="393"/>
      <c r="L15" s="393"/>
      <c r="M15" s="393"/>
      <c r="N15" s="393"/>
      <c r="O15" s="393"/>
      <c r="P15" s="393"/>
      <c r="Q15" s="394"/>
    </row>
    <row r="16" spans="1:21" x14ac:dyDescent="0.25">
      <c r="A16" s="201"/>
    </row>
    <row r="17" spans="1:21" ht="25.8" x14ac:dyDescent="0.25">
      <c r="A17" s="201"/>
      <c r="C17" s="155" t="s">
        <v>128</v>
      </c>
      <c r="D17" s="159" t="s">
        <v>233</v>
      </c>
      <c r="E17" s="156" t="s">
        <v>234</v>
      </c>
      <c r="F17" s="156" t="s">
        <v>235</v>
      </c>
      <c r="G17" s="156" t="s">
        <v>236</v>
      </c>
      <c r="H17" s="157" t="s">
        <v>237</v>
      </c>
      <c r="I17" s="157" t="s">
        <v>238</v>
      </c>
      <c r="J17" s="155" t="s">
        <v>239</v>
      </c>
      <c r="K17" s="155" t="s">
        <v>240</v>
      </c>
      <c r="L17" s="155" t="s">
        <v>241</v>
      </c>
      <c r="M17" s="155" t="s">
        <v>242</v>
      </c>
      <c r="N17" s="158" t="s">
        <v>243</v>
      </c>
      <c r="O17" s="158" t="s">
        <v>244</v>
      </c>
      <c r="P17" s="158" t="s">
        <v>245</v>
      </c>
      <c r="Q17" s="158" t="s">
        <v>246</v>
      </c>
    </row>
    <row r="18" spans="1:21" x14ac:dyDescent="0.25">
      <c r="A18" s="201"/>
      <c r="C18" s="196" t="str">
        <f>'Data Input'!I10</f>
        <v>Gasoline</v>
      </c>
      <c r="D18" s="161">
        <v>1E-3</v>
      </c>
      <c r="E18" s="161">
        <f>IFERROR(IF($C$18="","",VLOOKUP($C$18,'Emission Factors'!$D$3:$K$8,2,0)),0)</f>
        <v>4.2500000000000003E-2</v>
      </c>
      <c r="F18" s="161">
        <f>IFERROR(IF($C$18="","",VLOOKUP($C$18,'Emission Factors'!$D$3:$K$8,3,0)),0)</f>
        <v>68.900000000000006</v>
      </c>
      <c r="G18" s="202">
        <v>1</v>
      </c>
      <c r="H18" s="161">
        <f>IFERROR(IF($C$18="","",VLOOKUP($C$18,'Emission Factors'!$D$3:$K$8,5,0)),0)</f>
        <v>2.3300000000000001E-2</v>
      </c>
      <c r="I18" s="161">
        <f>IFERROR(IF($C$18="","",VLOOKUP($C$18,'Emission Factors'!$D$3:$K$8,7,0)),0)</f>
        <v>6.0000000000000001E-3</v>
      </c>
      <c r="J18" s="203">
        <f>'Data Input'!J10</f>
        <v>1000</v>
      </c>
      <c r="K18" s="161" t="str">
        <f>'Data Input'!K10</f>
        <v>liters</v>
      </c>
      <c r="L18" s="161">
        <f>IFERROR(VLOOKUP(C18,'Emission Factors'!$M$4:$P$10,2,0),0)</f>
        <v>0.84799999999999998</v>
      </c>
      <c r="M18" s="161">
        <f>IFERROR(IF(K18="liters",J18*L18,IF(K18="m3",J18*L18*1000,"")),0)</f>
        <v>848</v>
      </c>
      <c r="N18" s="161">
        <f>IFERROR(M18*D18*E18*F18*G18,0)</f>
        <v>2.4831560000000006</v>
      </c>
      <c r="O18" s="161">
        <f>IFERROR(M18*D18*E18*H18*G18,0)</f>
        <v>8.3973200000000015E-4</v>
      </c>
      <c r="P18" s="161">
        <f>IFERROR(M18*D18*E18*I18*G18,0)</f>
        <v>2.1624000000000003E-4</v>
      </c>
      <c r="Q18" s="161">
        <f>IFERROR(N18+O18*'Emission Factors'!N13+P18*'Emission Factors'!N14,0)</f>
        <v>2.5639720960000005</v>
      </c>
    </row>
    <row r="19" spans="1:21" x14ac:dyDescent="0.25">
      <c r="A19" s="201"/>
    </row>
    <row r="20" spans="1:21" ht="36.6" customHeight="1" x14ac:dyDescent="0.25">
      <c r="A20" s="201"/>
      <c r="C20" s="155" t="s">
        <v>143</v>
      </c>
      <c r="D20" s="159" t="s">
        <v>233</v>
      </c>
      <c r="E20" s="156" t="s">
        <v>234</v>
      </c>
      <c r="F20" s="156" t="s">
        <v>250</v>
      </c>
      <c r="G20" s="156" t="s">
        <v>236</v>
      </c>
      <c r="H20" s="157" t="s">
        <v>237</v>
      </c>
      <c r="I20" s="157" t="s">
        <v>238</v>
      </c>
      <c r="J20" s="155" t="s">
        <v>239</v>
      </c>
      <c r="K20" s="155" t="s">
        <v>240</v>
      </c>
      <c r="L20" s="155" t="s">
        <v>251</v>
      </c>
      <c r="M20" s="155" t="s">
        <v>242</v>
      </c>
      <c r="N20" s="158" t="s">
        <v>252</v>
      </c>
      <c r="O20" s="158" t="s">
        <v>253</v>
      </c>
      <c r="P20" s="158" t="s">
        <v>245</v>
      </c>
      <c r="Q20" s="158" t="s">
        <v>254</v>
      </c>
    </row>
    <row r="21" spans="1:21" x14ac:dyDescent="0.25">
      <c r="A21" s="201"/>
      <c r="C21" s="196" t="str">
        <f>'Data Input'!I13</f>
        <v>Diesel</v>
      </c>
      <c r="D21" s="161">
        <v>1E-3</v>
      </c>
      <c r="E21" s="161">
        <f>IFERROR(IF($C$21="","",VLOOKUP($C$21,'Emission Factors'!$D$9:$K$13,2,0)),0)</f>
        <v>4.1399999999999999E-2</v>
      </c>
      <c r="F21" s="161">
        <f>IFERROR(IF($C$21="","",VLOOKUP($C$21,'Emission Factors'!$D$9:$K$13,3,0)),0)</f>
        <v>74.099999999999994</v>
      </c>
      <c r="G21" s="202">
        <v>1</v>
      </c>
      <c r="H21" s="161">
        <f>IFERROR(IF($C$21="","",VLOOKUP($C$21,'Emission Factors'!$D$9:$K$13,5,0)),0)</f>
        <v>0.01</v>
      </c>
      <c r="I21" s="161">
        <f>IFERROR(IF($C$21="","",VLOOKUP($C$21,'Emission Factors'!$D$9:$K$13,7,0)),0)</f>
        <v>5.9999999999999995E-4</v>
      </c>
      <c r="J21" s="203">
        <f>'Data Input'!J13</f>
        <v>2000</v>
      </c>
      <c r="K21" s="161" t="str">
        <f>'Data Input'!K13</f>
        <v>liters</v>
      </c>
      <c r="L21" s="161">
        <f>IFERROR(VLOOKUP(C21,'Emission Factors'!$M$4:$P$10,2,0),0)</f>
        <v>0.84109999999999996</v>
      </c>
      <c r="M21" s="161">
        <f>IFERROR(IF(K21="liters",J21*L21,IF(K21="m3",J21*L21*1000,"")),0)</f>
        <v>1682.1999999999998</v>
      </c>
      <c r="N21" s="161">
        <f>IFERROR(M21*D21*E21*F21*G21,0)</f>
        <v>5.1605522279999994</v>
      </c>
      <c r="O21" s="161">
        <f>IFERROR(M21*D21*E21*H21*G21,0)</f>
        <v>6.964308E-4</v>
      </c>
      <c r="P21" s="161">
        <f>IFERROR(M21*D21*E21*I21*G21,0)</f>
        <v>4.1785847999999993E-5</v>
      </c>
      <c r="Q21" s="161">
        <f>IFERROR(N21+O21*'Emission Factors'!N13+P21*'Emission Factors'!N14,0)</f>
        <v>5.1911255401199989</v>
      </c>
    </row>
    <row r="22" spans="1:21" s="205" customFormat="1" ht="13.8" thickBot="1" x14ac:dyDescent="0.3">
      <c r="A22" s="204"/>
      <c r="J22" s="185"/>
    </row>
    <row r="23" spans="1:21" ht="13.8" thickBot="1" x14ac:dyDescent="0.3"/>
    <row r="24" spans="1:21" ht="13.2" customHeight="1" x14ac:dyDescent="0.25">
      <c r="C24" s="377" t="s">
        <v>255</v>
      </c>
      <c r="D24" s="378"/>
      <c r="E24" s="378"/>
      <c r="F24" s="378"/>
      <c r="G24" s="378"/>
      <c r="H24" s="378"/>
      <c r="I24" s="378"/>
      <c r="J24" s="378"/>
      <c r="K24" s="378"/>
      <c r="L24" s="378"/>
      <c r="M24" s="378"/>
      <c r="N24" s="378"/>
      <c r="O24" s="379"/>
      <c r="P24" s="197"/>
      <c r="Q24" s="197"/>
    </row>
    <row r="25" spans="1:21" ht="13.2" customHeight="1" x14ac:dyDescent="0.25">
      <c r="C25" s="380"/>
      <c r="D25" s="381"/>
      <c r="E25" s="381"/>
      <c r="F25" s="381"/>
      <c r="G25" s="381"/>
      <c r="H25" s="381"/>
      <c r="I25" s="381"/>
      <c r="J25" s="381"/>
      <c r="K25" s="381"/>
      <c r="L25" s="381"/>
      <c r="M25" s="381"/>
      <c r="N25" s="381"/>
      <c r="O25" s="382"/>
      <c r="P25" s="197"/>
      <c r="Q25" s="197"/>
    </row>
    <row r="26" spans="1:21" ht="13.95" customHeight="1" x14ac:dyDescent="0.25">
      <c r="C26" s="380"/>
      <c r="D26" s="381"/>
      <c r="E26" s="381"/>
      <c r="F26" s="381"/>
      <c r="G26" s="381"/>
      <c r="H26" s="381"/>
      <c r="I26" s="381"/>
      <c r="J26" s="381"/>
      <c r="K26" s="381"/>
      <c r="L26" s="381"/>
      <c r="M26" s="381"/>
      <c r="N26" s="381"/>
      <c r="O26" s="382"/>
      <c r="P26" s="197"/>
      <c r="Q26" s="197"/>
    </row>
    <row r="27" spans="1:21" ht="13.8" thickBot="1" x14ac:dyDescent="0.3">
      <c r="C27" s="383"/>
      <c r="D27" s="384"/>
      <c r="E27" s="384"/>
      <c r="F27" s="384"/>
      <c r="G27" s="384"/>
      <c r="H27" s="384"/>
      <c r="I27" s="384"/>
      <c r="J27" s="384"/>
      <c r="K27" s="384"/>
      <c r="L27" s="384"/>
      <c r="M27" s="384"/>
      <c r="N27" s="384"/>
      <c r="O27" s="385"/>
    </row>
    <row r="28" spans="1:21" ht="13.8" thickBot="1" x14ac:dyDescent="0.3">
      <c r="J28" s="160"/>
    </row>
    <row r="29" spans="1:21" ht="27" thickBot="1" x14ac:dyDescent="0.3">
      <c r="C29" s="386" t="s">
        <v>3</v>
      </c>
      <c r="D29" s="387"/>
      <c r="E29" s="387"/>
      <c r="F29" s="387"/>
      <c r="G29" s="387"/>
      <c r="H29" s="387"/>
      <c r="I29" s="387"/>
      <c r="J29" s="387"/>
      <c r="K29" s="387"/>
      <c r="L29" s="387"/>
      <c r="M29" s="387"/>
      <c r="N29" s="387"/>
      <c r="O29" s="388"/>
    </row>
    <row r="31" spans="1:21" ht="55.5" customHeight="1" x14ac:dyDescent="0.25">
      <c r="C31" s="155" t="s">
        <v>143</v>
      </c>
      <c r="D31" s="159" t="s">
        <v>233</v>
      </c>
      <c r="E31" s="156" t="s">
        <v>234</v>
      </c>
      <c r="F31" s="156" t="s">
        <v>250</v>
      </c>
      <c r="G31" s="156" t="s">
        <v>236</v>
      </c>
      <c r="H31" s="157" t="s">
        <v>237</v>
      </c>
      <c r="I31" s="157" t="s">
        <v>238</v>
      </c>
      <c r="J31" s="155" t="s">
        <v>239</v>
      </c>
      <c r="K31" s="155" t="s">
        <v>240</v>
      </c>
      <c r="L31" s="158" t="s">
        <v>252</v>
      </c>
      <c r="M31" s="158" t="s">
        <v>253</v>
      </c>
      <c r="N31" s="158" t="s">
        <v>245</v>
      </c>
      <c r="O31" s="158" t="s">
        <v>254</v>
      </c>
      <c r="S31" s="221" t="s">
        <v>256</v>
      </c>
      <c r="T31" s="221" t="s">
        <v>257</v>
      </c>
      <c r="U31" s="149" t="s">
        <v>249</v>
      </c>
    </row>
    <row r="32" spans="1:21" x14ac:dyDescent="0.25">
      <c r="C32" s="196" t="str">
        <f>'Emission Factors'!D15</f>
        <v>Wood/Wood Waste</v>
      </c>
      <c r="D32" s="161">
        <v>1E-3</v>
      </c>
      <c r="E32" s="161">
        <f>IFERROR(IF($C$32="","",'Emission Factors'!$E$15),0)</f>
        <v>7.9000000000000008E-3</v>
      </c>
      <c r="F32" s="161">
        <f>IFERROR(IF($C$32="","",'Emission Factors'!F15),0)</f>
        <v>112</v>
      </c>
      <c r="G32" s="202">
        <v>1</v>
      </c>
      <c r="H32" s="161">
        <f>IFERROR(IF($C$32="","",'Emission Factors'!H15),0)</f>
        <v>0.3</v>
      </c>
      <c r="I32" s="161">
        <f>IFERROR(IF($C$32="","",'Emission Factors'!J15),0)</f>
        <v>4.0000000000000001E-3</v>
      </c>
      <c r="J32" s="203">
        <f>'Data Input'!F16</f>
        <v>0</v>
      </c>
      <c r="K32" s="206" t="s">
        <v>258</v>
      </c>
      <c r="L32" s="161">
        <f>IFERROR(J32*D32*E32*F32*G32,0)</f>
        <v>0</v>
      </c>
      <c r="M32" s="161">
        <f>IFERROR(J32*D32*E32*H32*G32,0)</f>
        <v>0</v>
      </c>
      <c r="N32" s="161">
        <f>IFERROR(J32*D32*E32*I32*G32,0)</f>
        <v>0</v>
      </c>
      <c r="O32" s="161">
        <f>IFERROR(L32+M32*'Emission Factors'!N13+Calculations!N32*'Emission Factors'!N14,0)</f>
        <v>0</v>
      </c>
      <c r="S32" s="196">
        <f>M32*'Emission Factors'!N13*'Data Input'!$E$3</f>
        <v>0</v>
      </c>
      <c r="T32" s="196">
        <f>M37*'Emission Factors'!N13*'Data Input'!$E$3</f>
        <v>0</v>
      </c>
      <c r="U32" s="196">
        <f>IF(T32-S32&lt;0,0,T32-S32)</f>
        <v>0</v>
      </c>
    </row>
    <row r="33" spans="3:21" ht="13.8" thickBot="1" x14ac:dyDescent="0.3"/>
    <row r="34" spans="3:21" ht="27" thickBot="1" x14ac:dyDescent="0.95">
      <c r="C34" s="389" t="s">
        <v>4</v>
      </c>
      <c r="D34" s="390"/>
      <c r="E34" s="390"/>
      <c r="F34" s="390"/>
      <c r="G34" s="390"/>
      <c r="H34" s="390"/>
      <c r="I34" s="390"/>
      <c r="J34" s="390"/>
      <c r="K34" s="390"/>
      <c r="L34" s="390"/>
      <c r="M34" s="390"/>
      <c r="N34" s="390"/>
      <c r="O34" s="391"/>
    </row>
    <row r="36" spans="3:21" ht="51.75" customHeight="1" x14ac:dyDescent="0.25">
      <c r="C36" s="155" t="s">
        <v>143</v>
      </c>
      <c r="D36" s="159" t="s">
        <v>233</v>
      </c>
      <c r="E36" s="156" t="s">
        <v>234</v>
      </c>
      <c r="F36" s="156" t="s">
        <v>250</v>
      </c>
      <c r="G36" s="156" t="s">
        <v>236</v>
      </c>
      <c r="H36" s="157" t="s">
        <v>237</v>
      </c>
      <c r="I36" s="157" t="s">
        <v>238</v>
      </c>
      <c r="J36" s="155" t="s">
        <v>239</v>
      </c>
      <c r="K36" s="155" t="s">
        <v>240</v>
      </c>
      <c r="L36" s="158" t="s">
        <v>252</v>
      </c>
      <c r="M36" s="158" t="s">
        <v>253</v>
      </c>
      <c r="N36" s="158" t="s">
        <v>245</v>
      </c>
      <c r="O36" s="158" t="s">
        <v>254</v>
      </c>
      <c r="S36" s="221" t="s">
        <v>259</v>
      </c>
      <c r="T36" s="221" t="s">
        <v>260</v>
      </c>
      <c r="U36" s="149" t="s">
        <v>249</v>
      </c>
    </row>
    <row r="37" spans="3:21" x14ac:dyDescent="0.25">
      <c r="C37" s="196" t="str">
        <f>'Emission Factors'!D15</f>
        <v>Wood/Wood Waste</v>
      </c>
      <c r="D37" s="161">
        <v>1E-3</v>
      </c>
      <c r="E37" s="161">
        <f>IFERROR(IF($C$37="","",'Emission Factors'!E15),0)</f>
        <v>7.9000000000000008E-3</v>
      </c>
      <c r="F37" s="161">
        <f>IFERROR(IF($C$37="","",'Emission Factors'!F15),0)</f>
        <v>112</v>
      </c>
      <c r="G37" s="202">
        <v>1</v>
      </c>
      <c r="H37" s="161">
        <f>IFERROR(IF($C$37="","",'Emission Factors'!H15),0)</f>
        <v>0.3</v>
      </c>
      <c r="I37" s="161">
        <f>IFERROR(IF($C$37="","",'Emission Factors'!J15),0)</f>
        <v>4.0000000000000001E-3</v>
      </c>
      <c r="J37" s="203">
        <f>'Data Input'!J16</f>
        <v>0</v>
      </c>
      <c r="K37" s="206" t="s">
        <v>258</v>
      </c>
      <c r="L37" s="161">
        <f>IFERROR(J37*D37*E37*F37*G37,0)</f>
        <v>0</v>
      </c>
      <c r="M37" s="161">
        <f>IFERROR(J37*D37*E37*H37*G37,0)</f>
        <v>0</v>
      </c>
      <c r="N37" s="161">
        <f>IFERROR(J37*D37*E37*I37*G37,0)</f>
        <v>0</v>
      </c>
      <c r="O37" s="161">
        <f>IFERROR(L37+M37*'Emission Factors'!N13+Calculations!N37*'Emission Factors'!N14,0)</f>
        <v>0</v>
      </c>
      <c r="S37" s="196">
        <f>N32*'Emission Factors'!N14*'Data Input'!$E$3</f>
        <v>0</v>
      </c>
      <c r="T37" s="196">
        <f>N37*'Emission Factors'!N14*'Data Input'!$E$3</f>
        <v>0</v>
      </c>
      <c r="U37" s="196">
        <f>IF(T37-S37&lt;0,0,T37-S37)</f>
        <v>0</v>
      </c>
    </row>
    <row r="39" spans="3:21" ht="13.8" thickBot="1" x14ac:dyDescent="0.3"/>
    <row r="40" spans="3:21" x14ac:dyDescent="0.25">
      <c r="C40" s="377" t="s">
        <v>69</v>
      </c>
      <c r="D40" s="378"/>
      <c r="E40" s="378"/>
      <c r="F40" s="378"/>
      <c r="G40" s="378"/>
      <c r="H40" s="378"/>
      <c r="I40" s="378"/>
      <c r="J40" s="378"/>
      <c r="K40" s="378"/>
      <c r="L40" s="378"/>
      <c r="M40" s="378"/>
      <c r="N40" s="378"/>
      <c r="O40" s="379"/>
    </row>
    <row r="41" spans="3:21" x14ac:dyDescent="0.25">
      <c r="C41" s="380"/>
      <c r="D41" s="381"/>
      <c r="E41" s="381"/>
      <c r="F41" s="381"/>
      <c r="G41" s="381"/>
      <c r="H41" s="381"/>
      <c r="I41" s="381"/>
      <c r="J41" s="381"/>
      <c r="K41" s="381"/>
      <c r="L41" s="381"/>
      <c r="M41" s="381"/>
      <c r="N41" s="381"/>
      <c r="O41" s="382"/>
    </row>
    <row r="42" spans="3:21" x14ac:dyDescent="0.25">
      <c r="C42" s="380"/>
      <c r="D42" s="381"/>
      <c r="E42" s="381"/>
      <c r="F42" s="381"/>
      <c r="G42" s="381"/>
      <c r="H42" s="381"/>
      <c r="I42" s="381"/>
      <c r="J42" s="381"/>
      <c r="K42" s="381"/>
      <c r="L42" s="381"/>
      <c r="M42" s="381"/>
      <c r="N42" s="381"/>
      <c r="O42" s="382"/>
    </row>
    <row r="43" spans="3:21" ht="13.8" thickBot="1" x14ac:dyDescent="0.3">
      <c r="C43" s="383"/>
      <c r="D43" s="384"/>
      <c r="E43" s="384"/>
      <c r="F43" s="384"/>
      <c r="G43" s="384"/>
      <c r="H43" s="384"/>
      <c r="I43" s="384"/>
      <c r="J43" s="384"/>
      <c r="K43" s="384"/>
      <c r="L43" s="384"/>
      <c r="M43" s="384"/>
      <c r="N43" s="384"/>
      <c r="O43" s="385"/>
    </row>
    <row r="44" spans="3:21" ht="13.8" thickBot="1" x14ac:dyDescent="0.3"/>
    <row r="45" spans="3:21" ht="27" thickBot="1" x14ac:dyDescent="0.3">
      <c r="C45" s="386" t="s">
        <v>3</v>
      </c>
      <c r="D45" s="387"/>
      <c r="E45" s="387"/>
      <c r="F45" s="387"/>
      <c r="G45" s="387"/>
      <c r="H45" s="388"/>
      <c r="J45" s="392" t="s">
        <v>4</v>
      </c>
      <c r="K45" s="393"/>
      <c r="L45" s="393"/>
      <c r="M45" s="393"/>
      <c r="N45" s="393"/>
      <c r="O45" s="394"/>
    </row>
    <row r="47" spans="3:21" ht="66" customHeight="1" x14ac:dyDescent="0.25">
      <c r="C47" s="155" t="s">
        <v>5</v>
      </c>
      <c r="D47" s="155" t="s">
        <v>9</v>
      </c>
      <c r="E47" s="155" t="s">
        <v>20</v>
      </c>
      <c r="F47" s="156" t="s">
        <v>261</v>
      </c>
      <c r="G47" s="159" t="s">
        <v>233</v>
      </c>
      <c r="H47" s="158" t="s">
        <v>253</v>
      </c>
      <c r="J47" s="155" t="s">
        <v>5</v>
      </c>
      <c r="K47" s="155" t="s">
        <v>9</v>
      </c>
      <c r="L47" s="155" t="s">
        <v>20</v>
      </c>
      <c r="M47" s="156" t="s">
        <v>261</v>
      </c>
      <c r="N47" s="159" t="s">
        <v>233</v>
      </c>
      <c r="O47" s="158" t="s">
        <v>253</v>
      </c>
      <c r="S47" s="221" t="s">
        <v>262</v>
      </c>
      <c r="T47" s="221" t="s">
        <v>263</v>
      </c>
      <c r="U47" s="149" t="s">
        <v>249</v>
      </c>
    </row>
    <row r="48" spans="3:21" ht="27" customHeight="1" x14ac:dyDescent="0.25">
      <c r="C48" s="154" t="str">
        <f>'Data Input'!$D$3</f>
        <v>Africa</v>
      </c>
      <c r="D48" s="154" t="str">
        <f>'Data Input'!E19</f>
        <v>Sheep</v>
      </c>
      <c r="E48" s="154">
        <f>'Data Input'!G19</f>
        <v>0</v>
      </c>
      <c r="F48" s="152">
        <f>IFERROR(VLOOKUP(C48,'Emission Factors'!$C$20:$J$28,MATCH(D48,'Emission Factors'!$C$20:$J$20,0),FALSE),0)</f>
        <v>5</v>
      </c>
      <c r="G48" s="117">
        <v>1E-3</v>
      </c>
      <c r="H48" s="161">
        <f>E48*F48*G48</f>
        <v>0</v>
      </c>
      <c r="J48" s="154" t="str">
        <f>'Data Input'!$D$3</f>
        <v>Africa</v>
      </c>
      <c r="K48" s="154" t="str">
        <f>'Data Input'!E19</f>
        <v>Sheep</v>
      </c>
      <c r="L48" s="154">
        <f>'Data Input'!K19</f>
        <v>0</v>
      </c>
      <c r="M48" s="152">
        <f>IFERROR(VLOOKUP(J48,'Emission Factors'!$C$20:$J$28,MATCH(K48,'Emission Factors'!$C$20:$J$20,0),FALSE),0)</f>
        <v>5</v>
      </c>
      <c r="N48" s="117">
        <v>1E-3</v>
      </c>
      <c r="O48" s="161">
        <f>L48*M48*N48</f>
        <v>0</v>
      </c>
      <c r="S48" s="196">
        <f>SUM(H48:H52)*'Emission Factors'!N13</f>
        <v>0</v>
      </c>
      <c r="T48" s="196">
        <f>SUM(O48:O52)*'Emission Factors'!N13</f>
        <v>0</v>
      </c>
      <c r="U48" s="196">
        <f>IF(T48-S48&lt;0,0,T48-S48)</f>
        <v>0</v>
      </c>
    </row>
    <row r="49" spans="3:21" x14ac:dyDescent="0.25">
      <c r="C49" s="154" t="str">
        <f>'Data Input'!$D$3</f>
        <v>Africa</v>
      </c>
      <c r="D49" s="154" t="str">
        <f>'Data Input'!E24</f>
        <v>Sheep</v>
      </c>
      <c r="E49" s="154">
        <f>'Data Input'!G24</f>
        <v>0</v>
      </c>
      <c r="F49" s="152">
        <f>IFERROR(VLOOKUP(C49,'Emission Factors'!$C$20:$J$28,MATCH(D49,'Emission Factors'!$C$20:$J$20,0),FALSE),0)</f>
        <v>5</v>
      </c>
      <c r="G49" s="117">
        <v>1E-3</v>
      </c>
      <c r="H49" s="161">
        <f>E49*F49*G49</f>
        <v>0</v>
      </c>
      <c r="J49" s="154" t="str">
        <f>'Data Input'!$D$3</f>
        <v>Africa</v>
      </c>
      <c r="K49" s="154" t="str">
        <f>'Data Input'!E24</f>
        <v>Sheep</v>
      </c>
      <c r="L49" s="154">
        <f>'Data Input'!K24</f>
        <v>0</v>
      </c>
      <c r="M49" s="152">
        <f>IFERROR(VLOOKUP(J49,'Emission Factors'!$C$20:$J$28,MATCH(K49,'Emission Factors'!$C$20:$J$20,0),FALSE),0)</f>
        <v>5</v>
      </c>
      <c r="N49" s="117">
        <v>1E-3</v>
      </c>
      <c r="O49" s="161">
        <f>L49*M49*N49</f>
        <v>0</v>
      </c>
    </row>
    <row r="50" spans="3:21" x14ac:dyDescent="0.25">
      <c r="C50" s="154" t="str">
        <f>'Data Input'!$D$3</f>
        <v>Africa</v>
      </c>
      <c r="D50" s="154">
        <f>'Data Input'!E29</f>
        <v>0</v>
      </c>
      <c r="E50" s="154">
        <f>'Data Input'!G29</f>
        <v>0</v>
      </c>
      <c r="F50" s="152">
        <f>IFERROR(VLOOKUP(C50,'Emission Factors'!$C$20:$J$28,MATCH(D50,'Emission Factors'!$C$20:$J$20,0),FALSE),0)</f>
        <v>0</v>
      </c>
      <c r="G50" s="117">
        <v>1E-3</v>
      </c>
      <c r="H50" s="161">
        <f>E50*F50*G50</f>
        <v>0</v>
      </c>
      <c r="J50" s="154" t="str">
        <f>'Data Input'!$D$3</f>
        <v>Africa</v>
      </c>
      <c r="K50" s="154">
        <f>'Data Input'!E29</f>
        <v>0</v>
      </c>
      <c r="L50" s="154">
        <f>'Data Input'!K29</f>
        <v>0</v>
      </c>
      <c r="M50" s="152">
        <f>IFERROR(VLOOKUP(J50,'Emission Factors'!$C$20:$J$28,MATCH(K50,'Emission Factors'!$C$20:$J$20,0),FALSE),0)</f>
        <v>0</v>
      </c>
      <c r="N50" s="117">
        <v>1E-3</v>
      </c>
      <c r="O50" s="161">
        <f>L50*M50*N50</f>
        <v>0</v>
      </c>
    </row>
    <row r="51" spans="3:21" x14ac:dyDescent="0.25">
      <c r="C51" s="154" t="str">
        <f>'Data Input'!$D$3</f>
        <v>Africa</v>
      </c>
      <c r="D51" s="154">
        <f>'Data Input'!E34</f>
        <v>0</v>
      </c>
      <c r="E51" s="154">
        <f>'Data Input'!G34</f>
        <v>0</v>
      </c>
      <c r="F51" s="152">
        <f>IFERROR(VLOOKUP(C51,'Emission Factors'!$C$20:$J$28,MATCH(D51,'Emission Factors'!$C$20:$J$20,0),FALSE),0)</f>
        <v>0</v>
      </c>
      <c r="G51" s="117">
        <v>1E-3</v>
      </c>
      <c r="H51" s="161">
        <f>E51*F51*G51</f>
        <v>0</v>
      </c>
      <c r="J51" s="154" t="str">
        <f>'Data Input'!$D$3</f>
        <v>Africa</v>
      </c>
      <c r="K51" s="154">
        <f>'Data Input'!E34</f>
        <v>0</v>
      </c>
      <c r="L51" s="154">
        <f>'Data Input'!K34</f>
        <v>0</v>
      </c>
      <c r="M51" s="152">
        <f>IFERROR(VLOOKUP(J51,'Emission Factors'!$C$20:$J$28,MATCH(K51,'Emission Factors'!$C$20:$J$20,0),FALSE),0)</f>
        <v>0</v>
      </c>
      <c r="N51" s="117">
        <v>1E-3</v>
      </c>
      <c r="O51" s="161">
        <f>L51*M51*N51</f>
        <v>0</v>
      </c>
    </row>
    <row r="52" spans="3:21" x14ac:dyDescent="0.25">
      <c r="C52" s="154" t="str">
        <f>'Data Input'!$D$3</f>
        <v>Africa</v>
      </c>
      <c r="D52" s="154">
        <f>'Data Input'!E39</f>
        <v>0</v>
      </c>
      <c r="E52" s="154">
        <f>'Data Input'!G39</f>
        <v>0</v>
      </c>
      <c r="F52" s="152">
        <f>IFERROR(VLOOKUP(C52,'Emission Factors'!$C$20:$J$28,MATCH(D52,'Emission Factors'!$C$20:$J$20,0),FALSE),0)</f>
        <v>0</v>
      </c>
      <c r="G52" s="117">
        <v>1E-3</v>
      </c>
      <c r="H52" s="161">
        <f>E52*F52*G52</f>
        <v>0</v>
      </c>
      <c r="J52" s="154" t="str">
        <f>'Data Input'!$D$3</f>
        <v>Africa</v>
      </c>
      <c r="K52" s="154">
        <f>'Data Input'!E39</f>
        <v>0</v>
      </c>
      <c r="L52" s="154">
        <f>'Data Input'!K39</f>
        <v>0</v>
      </c>
      <c r="M52" s="152">
        <f>IFERROR(VLOOKUP(J52,'Emission Factors'!$C$20:$J$28,MATCH(K52,'Emission Factors'!$C$20:$J$20,0),FALSE),0)</f>
        <v>0</v>
      </c>
      <c r="N52" s="117">
        <v>1E-3</v>
      </c>
      <c r="O52" s="161">
        <f>L52*M52*N52</f>
        <v>0</v>
      </c>
    </row>
    <row r="55" spans="3:21" ht="13.8" thickBot="1" x14ac:dyDescent="0.3"/>
    <row r="56" spans="3:21" x14ac:dyDescent="0.25">
      <c r="C56" s="377" t="s">
        <v>264</v>
      </c>
      <c r="D56" s="378"/>
      <c r="E56" s="378"/>
      <c r="F56" s="378"/>
      <c r="G56" s="378"/>
      <c r="H56" s="378"/>
      <c r="I56" s="378"/>
      <c r="J56" s="378"/>
      <c r="K56" s="378"/>
      <c r="L56" s="378"/>
      <c r="M56" s="378"/>
      <c r="N56" s="378"/>
      <c r="O56" s="379"/>
      <c r="P56" s="197"/>
      <c r="Q56" s="197"/>
    </row>
    <row r="57" spans="3:21" x14ac:dyDescent="0.25">
      <c r="C57" s="380"/>
      <c r="D57" s="381"/>
      <c r="E57" s="381"/>
      <c r="F57" s="381"/>
      <c r="G57" s="381"/>
      <c r="H57" s="381"/>
      <c r="I57" s="381"/>
      <c r="J57" s="381"/>
      <c r="K57" s="381"/>
      <c r="L57" s="381"/>
      <c r="M57" s="381"/>
      <c r="N57" s="381"/>
      <c r="O57" s="382"/>
      <c r="P57" s="197"/>
      <c r="Q57" s="197"/>
    </row>
    <row r="58" spans="3:21" x14ac:dyDescent="0.25">
      <c r="C58" s="380"/>
      <c r="D58" s="381"/>
      <c r="E58" s="381"/>
      <c r="F58" s="381"/>
      <c r="G58" s="381"/>
      <c r="H58" s="381"/>
      <c r="I58" s="381"/>
      <c r="J58" s="381"/>
      <c r="K58" s="381"/>
      <c r="L58" s="381"/>
      <c r="M58" s="381"/>
      <c r="N58" s="381"/>
      <c r="O58" s="382"/>
      <c r="P58" s="197"/>
      <c r="Q58" s="197"/>
    </row>
    <row r="59" spans="3:21" ht="13.8" thickBot="1" x14ac:dyDescent="0.3">
      <c r="C59" s="383"/>
      <c r="D59" s="384"/>
      <c r="E59" s="384"/>
      <c r="F59" s="384"/>
      <c r="G59" s="384"/>
      <c r="H59" s="384"/>
      <c r="I59" s="384"/>
      <c r="J59" s="384"/>
      <c r="K59" s="384"/>
      <c r="L59" s="384"/>
      <c r="M59" s="384"/>
      <c r="N59" s="384"/>
      <c r="O59" s="385"/>
    </row>
    <row r="60" spans="3:21" ht="12.75" customHeight="1" thickBot="1" x14ac:dyDescent="0.3"/>
    <row r="61" spans="3:21" s="153" customFormat="1" ht="26.4" customHeight="1" thickBot="1" x14ac:dyDescent="0.3">
      <c r="C61" s="386" t="s">
        <v>3</v>
      </c>
      <c r="D61" s="387"/>
      <c r="E61" s="387"/>
      <c r="F61" s="387"/>
      <c r="G61" s="387"/>
      <c r="H61" s="387"/>
      <c r="I61" s="387"/>
      <c r="J61" s="387"/>
      <c r="K61" s="387"/>
      <c r="L61" s="387"/>
      <c r="M61" s="387"/>
      <c r="N61" s="387"/>
      <c r="O61" s="388"/>
    </row>
    <row r="62" spans="3:21" s="153" customFormat="1" ht="12" customHeight="1" x14ac:dyDescent="0.25">
      <c r="S62" s="160"/>
      <c r="T62" s="160"/>
    </row>
    <row r="63" spans="3:21" ht="71.25" customHeight="1" x14ac:dyDescent="0.25">
      <c r="C63" s="155" t="s">
        <v>5</v>
      </c>
      <c r="D63" s="155" t="s">
        <v>9</v>
      </c>
      <c r="E63" s="155" t="s">
        <v>20</v>
      </c>
      <c r="F63" s="155" t="s">
        <v>265</v>
      </c>
      <c r="G63" s="155" t="s">
        <v>266</v>
      </c>
      <c r="H63" s="167" t="s">
        <v>267</v>
      </c>
      <c r="I63" s="156" t="s">
        <v>268</v>
      </c>
      <c r="J63" s="156" t="s">
        <v>269</v>
      </c>
      <c r="K63" s="156" t="s">
        <v>270</v>
      </c>
      <c r="L63" s="159" t="s">
        <v>233</v>
      </c>
      <c r="M63" s="159" t="s">
        <v>271</v>
      </c>
      <c r="N63" s="158" t="s">
        <v>244</v>
      </c>
      <c r="O63" s="158" t="s">
        <v>245</v>
      </c>
      <c r="S63" s="221" t="s">
        <v>272</v>
      </c>
      <c r="T63" s="221" t="s">
        <v>273</v>
      </c>
      <c r="U63" s="149" t="s">
        <v>249</v>
      </c>
    </row>
    <row r="64" spans="3:21" ht="27" customHeight="1" x14ac:dyDescent="0.25">
      <c r="C64" s="154" t="str">
        <f>'Data Input'!$D$3</f>
        <v>Africa</v>
      </c>
      <c r="D64" s="154" t="str">
        <f>'Data Input'!E19</f>
        <v>Sheep</v>
      </c>
      <c r="E64" s="154">
        <f>'Data Input'!G19</f>
        <v>0</v>
      </c>
      <c r="F64" s="154">
        <f>'Data Input'!F19</f>
        <v>0</v>
      </c>
      <c r="G64" s="154">
        <f>'Data Input'!F21</f>
        <v>0</v>
      </c>
      <c r="H64" s="154">
        <f>'Data Input'!G21</f>
        <v>2.5</v>
      </c>
      <c r="I64" s="154">
        <f>IFERROR(VLOOKUP(C64,'Emission Factors'!$C$57:$J$65,MATCH(D64,'Emission Factors'!$C$57:$J$57,0),FALSE),0)</f>
        <v>8.3000000000000007</v>
      </c>
      <c r="J64" s="154">
        <f>IFERROR(VLOOKUP(C64,'Emission Factors'!$C$33:$J$41,MATCH(D64,'Emission Factors'!$C$33:$J$33,0),FALSE),0)</f>
        <v>0.32</v>
      </c>
      <c r="K64" s="154">
        <f>IFERROR(VLOOKUP(D64,'Emission Factors'!$D$46:$E$52,2,0),0)</f>
        <v>3.0000000000000001E-3</v>
      </c>
      <c r="L64" s="117">
        <v>1E-3</v>
      </c>
      <c r="M64" s="117">
        <v>9.9999999999999995E-7</v>
      </c>
      <c r="N64" s="117">
        <f>E64*F64*I64*H64*M64*L64*365</f>
        <v>0</v>
      </c>
      <c r="O64" s="164">
        <f>E64*F64*G64*L64*J64*L64*K64*'Emission Factors'!$P$12</f>
        <v>0</v>
      </c>
      <c r="S64" s="196">
        <f>SUM(O64:O68)*'Emission Factors'!N14</f>
        <v>0</v>
      </c>
      <c r="T64" s="196">
        <f>SUM(O73:O77)*'Emission Factors'!N14</f>
        <v>0</v>
      </c>
      <c r="U64" s="196">
        <f>IF(T64-S64&lt;0,0,T64-S64)</f>
        <v>0</v>
      </c>
    </row>
    <row r="65" spans="3:21" ht="27" customHeight="1" x14ac:dyDescent="0.25">
      <c r="C65" s="154" t="str">
        <f>'Data Input'!$D$3</f>
        <v>Africa</v>
      </c>
      <c r="D65" s="154" t="str">
        <f>'Data Input'!E24</f>
        <v>Sheep</v>
      </c>
      <c r="E65" s="154">
        <f>'Data Input'!G24</f>
        <v>0</v>
      </c>
      <c r="F65" s="154">
        <f>'Data Input'!F24</f>
        <v>0</v>
      </c>
      <c r="G65" s="154">
        <f>'Data Input'!F26</f>
        <v>0</v>
      </c>
      <c r="H65" s="154">
        <f>'Data Input'!G26</f>
        <v>2.5</v>
      </c>
      <c r="I65" s="154">
        <f>IFERROR(VLOOKUP(C65,'Emission Factors'!$C$57:$J$65,MATCH(D65,'Emission Factors'!$C$57:$J$57,0),FALSE),0)</f>
        <v>8.3000000000000007</v>
      </c>
      <c r="J65" s="154">
        <f>IFERROR(VLOOKUP(C65,'Emission Factors'!$C$33:$J$41,MATCH(D65,'Emission Factors'!$C$33:$J$33,0),FALSE),0)</f>
        <v>0.32</v>
      </c>
      <c r="K65" s="154">
        <f>IFERROR(VLOOKUP(D65,'Emission Factors'!$D$46:$E$52,2,0),0)</f>
        <v>3.0000000000000001E-3</v>
      </c>
      <c r="L65" s="117">
        <v>1E-3</v>
      </c>
      <c r="M65" s="117">
        <v>9.9999999999999995E-7</v>
      </c>
      <c r="N65" s="117">
        <f t="shared" ref="N65:N68" si="0">E65*F65*I65*H65*M65*L65*365</f>
        <v>0</v>
      </c>
      <c r="O65" s="164">
        <f>E65*F65*G65*L65*J65*L65*K65*'Emission Factors'!$P$12</f>
        <v>0</v>
      </c>
    </row>
    <row r="66" spans="3:21" ht="27" customHeight="1" x14ac:dyDescent="0.25">
      <c r="C66" s="154" t="str">
        <f>'Data Input'!$D$3</f>
        <v>Africa</v>
      </c>
      <c r="D66" s="154">
        <f>'Data Input'!E29</f>
        <v>0</v>
      </c>
      <c r="E66" s="154">
        <f>'Data Input'!G29</f>
        <v>0</v>
      </c>
      <c r="F66" s="154">
        <f>'Data Input'!F29</f>
        <v>0</v>
      </c>
      <c r="G66" s="154">
        <f>'Data Input'!F31</f>
        <v>0</v>
      </c>
      <c r="H66" s="154">
        <f>'Data Input'!G31</f>
        <v>0</v>
      </c>
      <c r="I66" s="154">
        <f>IFERROR(VLOOKUP(C66,'Emission Factors'!$C$57:$J$65,MATCH(D66,'Emission Factors'!$C$57:$J$57,0),FALSE),0)</f>
        <v>0</v>
      </c>
      <c r="J66" s="154">
        <f>IFERROR(VLOOKUP(C66,'Emission Factors'!$C$33:$J$41,MATCH(D66,'Emission Factors'!$C$33:$J$33,0),FALSE),0)</f>
        <v>0</v>
      </c>
      <c r="K66" s="154">
        <f>IFERROR(VLOOKUP(D66,'Emission Factors'!$D$46:$E$52,2,0),0)</f>
        <v>0</v>
      </c>
      <c r="L66" s="117">
        <v>1E-3</v>
      </c>
      <c r="M66" s="117">
        <v>9.9999999999999995E-7</v>
      </c>
      <c r="N66" s="117">
        <f t="shared" si="0"/>
        <v>0</v>
      </c>
      <c r="O66" s="164">
        <f>E66*F66*G66*L66*J66*L66*K66*'Emission Factors'!$P$12</f>
        <v>0</v>
      </c>
    </row>
    <row r="67" spans="3:21" ht="27" customHeight="1" x14ac:dyDescent="0.25">
      <c r="C67" s="154" t="str">
        <f>'Data Input'!$D$3</f>
        <v>Africa</v>
      </c>
      <c r="D67" s="154">
        <f>'Data Input'!E34</f>
        <v>0</v>
      </c>
      <c r="E67" s="154">
        <f>'Data Input'!G34</f>
        <v>0</v>
      </c>
      <c r="F67" s="154">
        <f>'Data Input'!F34</f>
        <v>0</v>
      </c>
      <c r="G67" s="154">
        <f>'Data Input'!F36</f>
        <v>0</v>
      </c>
      <c r="H67" s="154">
        <f>'Data Input'!G36</f>
        <v>0</v>
      </c>
      <c r="I67" s="154">
        <f>IFERROR(VLOOKUP(C67,'Emission Factors'!$C$57:$J$65,MATCH(D67,'Emission Factors'!$C$57:$J$57,0),FALSE),0)</f>
        <v>0</v>
      </c>
      <c r="J67" s="154">
        <f>IFERROR(VLOOKUP(C67,'Emission Factors'!$C$33:$J$41,MATCH(D67,'Emission Factors'!$C$33:$J$33,0),FALSE),0)</f>
        <v>0</v>
      </c>
      <c r="K67" s="154">
        <f>IFERROR(VLOOKUP(D67,'Emission Factors'!$D$46:$E$52,2,0),0)</f>
        <v>0</v>
      </c>
      <c r="L67" s="117">
        <v>1E-3</v>
      </c>
      <c r="M67" s="117">
        <v>9.9999999999999995E-7</v>
      </c>
      <c r="N67" s="117">
        <f t="shared" si="0"/>
        <v>0</v>
      </c>
      <c r="O67" s="164">
        <f>E67*F67*G67*L67*J67*L67*K67*'Emission Factors'!$P$12</f>
        <v>0</v>
      </c>
    </row>
    <row r="68" spans="3:21" ht="27" customHeight="1" x14ac:dyDescent="0.25">
      <c r="C68" s="154" t="str">
        <f>'Data Input'!$D$3</f>
        <v>Africa</v>
      </c>
      <c r="D68" s="154">
        <f>'Data Input'!E39</f>
        <v>0</v>
      </c>
      <c r="E68" s="154">
        <f>'Data Input'!G39</f>
        <v>0</v>
      </c>
      <c r="F68" s="154">
        <f>'Data Input'!F39</f>
        <v>0</v>
      </c>
      <c r="G68" s="154">
        <f>'Data Input'!F41</f>
        <v>0</v>
      </c>
      <c r="H68" s="154">
        <f>'Data Input'!G41</f>
        <v>0</v>
      </c>
      <c r="I68" s="154">
        <f>IFERROR(VLOOKUP(C68,'Emission Factors'!$C$57:$J$65,MATCH(D68,'Emission Factors'!$C$57:$J$57,0),FALSE),0)</f>
        <v>0</v>
      </c>
      <c r="J68" s="154">
        <f>IFERROR(VLOOKUP(C68,'Emission Factors'!$C$33:$J$41,MATCH(D68,'Emission Factors'!$C$33:$J$33,0),FALSE),0)</f>
        <v>0</v>
      </c>
      <c r="K68" s="154">
        <f>IFERROR(VLOOKUP(D68,'Emission Factors'!$D$46:$E$52,2,0),0)</f>
        <v>0</v>
      </c>
      <c r="L68" s="117">
        <v>1E-3</v>
      </c>
      <c r="M68" s="117">
        <v>9.9999999999999995E-7</v>
      </c>
      <c r="N68" s="117">
        <f t="shared" si="0"/>
        <v>0</v>
      </c>
      <c r="O68" s="164">
        <f>E68*F68*G68*L68*J68*L68*K68*'Emission Factors'!$P$12</f>
        <v>0</v>
      </c>
    </row>
    <row r="69" spans="3:21" ht="13.8" thickBot="1" x14ac:dyDescent="0.3">
      <c r="H69" s="153"/>
    </row>
    <row r="70" spans="3:21" ht="27" thickBot="1" x14ac:dyDescent="0.95">
      <c r="C70" s="389" t="s">
        <v>4</v>
      </c>
      <c r="D70" s="390"/>
      <c r="E70" s="390"/>
      <c r="F70" s="390"/>
      <c r="G70" s="390"/>
      <c r="H70" s="390"/>
      <c r="I70" s="390"/>
      <c r="J70" s="390"/>
      <c r="K70" s="390"/>
      <c r="L70" s="390"/>
      <c r="M70" s="390"/>
      <c r="N70" s="390"/>
      <c r="O70" s="391"/>
    </row>
    <row r="72" spans="3:21" ht="79.5" customHeight="1" x14ac:dyDescent="0.25">
      <c r="C72" s="155" t="s">
        <v>5</v>
      </c>
      <c r="D72" s="155" t="s">
        <v>9</v>
      </c>
      <c r="E72" s="155" t="s">
        <v>20</v>
      </c>
      <c r="F72" s="155" t="s">
        <v>265</v>
      </c>
      <c r="G72" s="155" t="s">
        <v>266</v>
      </c>
      <c r="H72" s="167" t="s">
        <v>267</v>
      </c>
      <c r="I72" s="156" t="s">
        <v>268</v>
      </c>
      <c r="J72" s="156" t="s">
        <v>269</v>
      </c>
      <c r="K72" s="156" t="s">
        <v>270</v>
      </c>
      <c r="L72" s="159" t="s">
        <v>233</v>
      </c>
      <c r="M72" s="159" t="s">
        <v>271</v>
      </c>
      <c r="N72" s="158" t="s">
        <v>244</v>
      </c>
      <c r="O72" s="158" t="s">
        <v>274</v>
      </c>
      <c r="S72" s="221" t="s">
        <v>275</v>
      </c>
      <c r="T72" s="221" t="s">
        <v>276</v>
      </c>
      <c r="U72" s="149" t="s">
        <v>277</v>
      </c>
    </row>
    <row r="73" spans="3:21" ht="28.5" customHeight="1" x14ac:dyDescent="0.25">
      <c r="C73" s="154" t="str">
        <f>'Data Input'!$D$3</f>
        <v>Africa</v>
      </c>
      <c r="D73" s="154" t="str">
        <f>'Data Input'!E19</f>
        <v>Sheep</v>
      </c>
      <c r="E73" s="154">
        <f>'Data Input'!K19</f>
        <v>0</v>
      </c>
      <c r="F73" s="154">
        <f>'Data Input'!J19</f>
        <v>0</v>
      </c>
      <c r="G73" s="154">
        <f>'Data Input'!J21</f>
        <v>0</v>
      </c>
      <c r="H73" s="154">
        <f>'Data Input'!K21</f>
        <v>2.5</v>
      </c>
      <c r="I73" s="154">
        <f>IFERROR(VLOOKUP(C73,'Emission Factors'!$C$57:$J$65,MATCH(D73,'Emission Factors'!$C$57:$J$57,0),FALSE),0)</f>
        <v>8.3000000000000007</v>
      </c>
      <c r="J73" s="154">
        <f>IFERROR(VLOOKUP(C73,'Emission Factors'!$C$33:$J$41,MATCH(D73,'Emission Factors'!$C$33:$J$33,0),FALSE),0)</f>
        <v>0.32</v>
      </c>
      <c r="K73" s="154">
        <f>IFERROR(VLOOKUP(D73,'Emission Factors'!$D$46:$E$52,2,0),0)</f>
        <v>3.0000000000000001E-3</v>
      </c>
      <c r="L73" s="117">
        <v>1E-3</v>
      </c>
      <c r="M73" s="117">
        <v>9.9999999999999995E-7</v>
      </c>
      <c r="N73" s="117">
        <f>E73*F73*I73*H73*M73*L73*365</f>
        <v>0</v>
      </c>
      <c r="O73" s="164">
        <f>E73*F73*G73*L73*J73*L73*K73*'Emission Factors'!$P$12</f>
        <v>0</v>
      </c>
      <c r="S73" s="196">
        <f>SUM(N64:N68)*'Emission Factors'!$N$13</f>
        <v>0</v>
      </c>
      <c r="T73" s="196">
        <f>SUM(N73:N77)*'Emission Factors'!$N$13</f>
        <v>0</v>
      </c>
      <c r="U73" s="196">
        <f>IF(T73-S73&lt;0,0,T73-S73)</f>
        <v>0</v>
      </c>
    </row>
    <row r="74" spans="3:21" ht="28.5" customHeight="1" x14ac:dyDescent="0.25">
      <c r="C74" s="154" t="str">
        <f>'Data Input'!$D$3</f>
        <v>Africa</v>
      </c>
      <c r="D74" s="154" t="str">
        <f>'Data Input'!E24</f>
        <v>Sheep</v>
      </c>
      <c r="E74" s="154">
        <f>'Data Input'!K24</f>
        <v>0</v>
      </c>
      <c r="F74" s="154">
        <f>'Data Input'!F24</f>
        <v>0</v>
      </c>
      <c r="G74" s="154">
        <f>'Data Input'!F26</f>
        <v>0</v>
      </c>
      <c r="H74" s="154">
        <f>'Data Input'!K26</f>
        <v>2.5</v>
      </c>
      <c r="I74" s="154">
        <f>IFERROR(VLOOKUP(C74,'Emission Factors'!$C$57:$J$65,MATCH(D74,'Emission Factors'!$C$57:$J$57,0),FALSE),0)</f>
        <v>8.3000000000000007</v>
      </c>
      <c r="J74" s="154">
        <f>IFERROR(VLOOKUP(C74,'Emission Factors'!$C$33:$J$41,MATCH(D74,'Emission Factors'!$C$33:$J$33,0),FALSE),0)</f>
        <v>0.32</v>
      </c>
      <c r="K74" s="154">
        <f>IFERROR(VLOOKUP(D74,'Emission Factors'!$D$46:$E$52,2,0),0)</f>
        <v>3.0000000000000001E-3</v>
      </c>
      <c r="L74" s="117">
        <v>1E-3</v>
      </c>
      <c r="M74" s="117">
        <v>9.9999999999999995E-7</v>
      </c>
      <c r="N74" s="117">
        <f t="shared" ref="N74:N77" si="1">E74*F74*I74*H74*M74*L74*365</f>
        <v>0</v>
      </c>
      <c r="O74" s="164">
        <f>E74*F74*G74*L74*J74*L74*K74*'Emission Factors'!$P$12</f>
        <v>0</v>
      </c>
    </row>
    <row r="75" spans="3:21" ht="28.5" customHeight="1" x14ac:dyDescent="0.25">
      <c r="C75" s="154" t="str">
        <f>'Data Input'!$D$3</f>
        <v>Africa</v>
      </c>
      <c r="D75" s="154">
        <f>'Data Input'!E29</f>
        <v>0</v>
      </c>
      <c r="E75" s="154">
        <f>'Data Input'!K29</f>
        <v>0</v>
      </c>
      <c r="F75" s="154">
        <f>'Data Input'!F29</f>
        <v>0</v>
      </c>
      <c r="G75" s="154">
        <f>'Data Input'!J31</f>
        <v>0</v>
      </c>
      <c r="H75" s="154">
        <f>'Data Input'!K31</f>
        <v>0</v>
      </c>
      <c r="I75" s="154">
        <f>IFERROR(VLOOKUP(C75,'Emission Factors'!$C$57:$J$65,MATCH(D75,'Emission Factors'!$C$57:$J$57,0),FALSE),0)</f>
        <v>0</v>
      </c>
      <c r="J75" s="154">
        <f>IFERROR(VLOOKUP(C75,'Emission Factors'!$C$33:$J$41,MATCH(D75,'Emission Factors'!$C$33:$J$33,0),FALSE),0)</f>
        <v>0</v>
      </c>
      <c r="K75" s="154">
        <f>IFERROR(VLOOKUP(D75,'Emission Factors'!$D$46:$E$52,2,0),0)</f>
        <v>0</v>
      </c>
      <c r="L75" s="117">
        <v>1E-3</v>
      </c>
      <c r="M75" s="117">
        <v>9.9999999999999995E-7</v>
      </c>
      <c r="N75" s="117">
        <f t="shared" si="1"/>
        <v>0</v>
      </c>
      <c r="O75" s="164">
        <f>E75*F75*G75*L75*J75*L75*K75*'Emission Factors'!$P$12</f>
        <v>0</v>
      </c>
    </row>
    <row r="76" spans="3:21" ht="28.5" customHeight="1" x14ac:dyDescent="0.25">
      <c r="C76" s="154" t="str">
        <f>'Data Input'!$D$3</f>
        <v>Africa</v>
      </c>
      <c r="D76" s="154">
        <f>'Data Input'!E34</f>
        <v>0</v>
      </c>
      <c r="E76" s="154">
        <f>'Data Input'!K34</f>
        <v>0</v>
      </c>
      <c r="F76" s="154">
        <f>'Data Input'!F34</f>
        <v>0</v>
      </c>
      <c r="G76" s="154">
        <f>'Data Input'!J36</f>
        <v>0</v>
      </c>
      <c r="H76" s="154">
        <f>'Data Input'!G36</f>
        <v>0</v>
      </c>
      <c r="I76" s="154">
        <f>IFERROR(VLOOKUP(C76,'Emission Factors'!$C$57:$J$65,MATCH(D76,'Emission Factors'!$C$57:$J$57,0),FALSE),0)</f>
        <v>0</v>
      </c>
      <c r="J76" s="154">
        <f>IFERROR(VLOOKUP(C76,'Emission Factors'!$C$33:$J$41,MATCH(D76,'Emission Factors'!$C$33:$J$33,0),FALSE),0)</f>
        <v>0</v>
      </c>
      <c r="K76" s="154">
        <f>IFERROR(VLOOKUP(D76,'Emission Factors'!$D$46:$E$52,2,0),0)</f>
        <v>0</v>
      </c>
      <c r="L76" s="117">
        <v>1E-3</v>
      </c>
      <c r="M76" s="117">
        <v>9.9999999999999995E-7</v>
      </c>
      <c r="N76" s="117">
        <f t="shared" si="1"/>
        <v>0</v>
      </c>
      <c r="O76" s="164">
        <f>E76*F76*G76*L76*J76*L76*K76*'Emission Factors'!$P$12</f>
        <v>0</v>
      </c>
    </row>
    <row r="77" spans="3:21" ht="28.5" customHeight="1" x14ac:dyDescent="0.25">
      <c r="C77" s="154" t="str">
        <f>'Data Input'!$D$3</f>
        <v>Africa</v>
      </c>
      <c r="D77" s="154">
        <f>'Data Input'!E39</f>
        <v>0</v>
      </c>
      <c r="E77" s="154">
        <f>'Data Input'!K39</f>
        <v>0</v>
      </c>
      <c r="F77" s="154">
        <f>'Data Input'!F39</f>
        <v>0</v>
      </c>
      <c r="G77" s="154">
        <f>'Data Input'!F41</f>
        <v>0</v>
      </c>
      <c r="H77" s="154">
        <f>'Data Input'!G41</f>
        <v>0</v>
      </c>
      <c r="I77" s="154">
        <f>IFERROR(VLOOKUP(C77,'Emission Factors'!$C$57:$J$65,MATCH(D77,'Emission Factors'!$C$57:$J$57,0),FALSE),0)</f>
        <v>0</v>
      </c>
      <c r="J77" s="154">
        <f>IFERROR(VLOOKUP(C77,'Emission Factors'!$C$33:$J$41,MATCH(D77,'Emission Factors'!$C$33:$J$33,0),FALSE),0)</f>
        <v>0</v>
      </c>
      <c r="K77" s="154">
        <f>IFERROR(VLOOKUP(D77,'Emission Factors'!$D$46:$E$52,2,0),0)</f>
        <v>0</v>
      </c>
      <c r="L77" s="117">
        <v>1E-3</v>
      </c>
      <c r="M77" s="117">
        <v>9.9999999999999995E-7</v>
      </c>
      <c r="N77" s="117">
        <f t="shared" si="1"/>
        <v>0</v>
      </c>
      <c r="O77" s="164">
        <f>E77*F77*G77*L77*J77*L77*K77*'Emission Factors'!$P$12</f>
        <v>0</v>
      </c>
    </row>
    <row r="79" spans="3:21" ht="13.8" thickBot="1" x14ac:dyDescent="0.3"/>
    <row r="80" spans="3:21" x14ac:dyDescent="0.25">
      <c r="C80" s="377" t="s">
        <v>278</v>
      </c>
      <c r="D80" s="378"/>
      <c r="E80" s="378"/>
      <c r="F80" s="378"/>
      <c r="G80" s="378"/>
      <c r="H80" s="378"/>
      <c r="I80" s="378"/>
      <c r="J80" s="378"/>
      <c r="K80" s="378"/>
      <c r="L80" s="378"/>
      <c r="M80" s="378"/>
      <c r="N80" s="378"/>
      <c r="O80" s="379"/>
    </row>
    <row r="81" spans="3:21" x14ac:dyDescent="0.25">
      <c r="C81" s="380"/>
      <c r="D81" s="381"/>
      <c r="E81" s="381"/>
      <c r="F81" s="381"/>
      <c r="G81" s="381"/>
      <c r="H81" s="381"/>
      <c r="I81" s="381"/>
      <c r="J81" s="381"/>
      <c r="K81" s="381"/>
      <c r="L81" s="381"/>
      <c r="M81" s="381"/>
      <c r="N81" s="381"/>
      <c r="O81" s="382"/>
    </row>
    <row r="82" spans="3:21" x14ac:dyDescent="0.25">
      <c r="C82" s="380"/>
      <c r="D82" s="381"/>
      <c r="E82" s="381"/>
      <c r="F82" s="381"/>
      <c r="G82" s="381"/>
      <c r="H82" s="381"/>
      <c r="I82" s="381"/>
      <c r="J82" s="381"/>
      <c r="K82" s="381"/>
      <c r="L82" s="381"/>
      <c r="M82" s="381"/>
      <c r="N82" s="381"/>
      <c r="O82" s="382"/>
    </row>
    <row r="83" spans="3:21" ht="13.8" thickBot="1" x14ac:dyDescent="0.3">
      <c r="C83" s="383"/>
      <c r="D83" s="384"/>
      <c r="E83" s="384"/>
      <c r="F83" s="384"/>
      <c r="G83" s="384"/>
      <c r="H83" s="384"/>
      <c r="I83" s="384"/>
      <c r="J83" s="384"/>
      <c r="K83" s="384"/>
      <c r="L83" s="384"/>
      <c r="M83" s="384"/>
      <c r="N83" s="384"/>
      <c r="O83" s="385"/>
    </row>
    <row r="84" spans="3:21" ht="13.8" thickBot="1" x14ac:dyDescent="0.3"/>
    <row r="85" spans="3:21" ht="27" thickBot="1" x14ac:dyDescent="0.3">
      <c r="C85" s="386" t="s">
        <v>3</v>
      </c>
      <c r="D85" s="387"/>
      <c r="E85" s="387"/>
      <c r="F85" s="387"/>
      <c r="G85" s="387"/>
      <c r="H85" s="387"/>
      <c r="I85" s="387"/>
      <c r="J85" s="387"/>
      <c r="K85" s="387"/>
      <c r="L85" s="387"/>
      <c r="M85" s="387"/>
      <c r="N85" s="387"/>
      <c r="O85" s="388"/>
    </row>
    <row r="87" spans="3:21" ht="116.25" customHeight="1" x14ac:dyDescent="0.25">
      <c r="C87" s="155" t="s">
        <v>5</v>
      </c>
      <c r="D87" s="155" t="s">
        <v>9</v>
      </c>
      <c r="E87" s="155" t="s">
        <v>20</v>
      </c>
      <c r="F87" s="155" t="s">
        <v>265</v>
      </c>
      <c r="G87" s="155" t="s">
        <v>266</v>
      </c>
      <c r="H87" s="156" t="s">
        <v>179</v>
      </c>
      <c r="I87" s="156" t="s">
        <v>182</v>
      </c>
      <c r="J87" s="156" t="s">
        <v>269</v>
      </c>
      <c r="K87" s="159" t="s">
        <v>233</v>
      </c>
      <c r="L87" s="158" t="s">
        <v>274</v>
      </c>
      <c r="S87" s="221" t="s">
        <v>279</v>
      </c>
      <c r="T87" s="221" t="s">
        <v>280</v>
      </c>
      <c r="U87" s="149" t="s">
        <v>249</v>
      </c>
    </row>
    <row r="88" spans="3:21" ht="27" customHeight="1" x14ac:dyDescent="0.25">
      <c r="C88" s="154" t="str">
        <f>'Data Input'!$D$3</f>
        <v>Africa</v>
      </c>
      <c r="D88" s="154" t="str">
        <f>'Data Input'!E19</f>
        <v>Sheep</v>
      </c>
      <c r="E88" s="154">
        <f>'Data Input'!G19</f>
        <v>0</v>
      </c>
      <c r="F88" s="154">
        <f>'Data Input'!F19</f>
        <v>0</v>
      </c>
      <c r="G88" s="154">
        <f>'Data Input'!F21</f>
        <v>0</v>
      </c>
      <c r="H88" s="154">
        <f>'Emission Factors'!$J$70</f>
        <v>0.01</v>
      </c>
      <c r="I88" s="154">
        <f>'Emission Factors'!$J$73</f>
        <v>0.21</v>
      </c>
      <c r="J88" s="154">
        <f>IFERROR(VLOOKUP(C88,'Emission Factors'!$C$33:$J$41,MATCH(D88,'Emission Factors'!$C$33:$J$33,0),FALSE),0)</f>
        <v>0.32</v>
      </c>
      <c r="K88" s="117">
        <v>1E-3</v>
      </c>
      <c r="L88" s="164">
        <f>E88*F88*G88*J88*K88*K88*'Emission Factors'!$P$12*I88*H88</f>
        <v>0</v>
      </c>
      <c r="S88" s="196">
        <f>SUM(L88:L92)*'Emission Factors'!$N$14</f>
        <v>0</v>
      </c>
      <c r="T88" s="196">
        <f>SUM(L97:L101)*'Emission Factors'!$N$14</f>
        <v>0</v>
      </c>
      <c r="U88" s="196">
        <f>IF(T88-S88&lt;0,0,T88-S88)</f>
        <v>0</v>
      </c>
    </row>
    <row r="89" spans="3:21" ht="27" customHeight="1" x14ac:dyDescent="0.25">
      <c r="C89" s="154" t="str">
        <f>'Data Input'!$D$3</f>
        <v>Africa</v>
      </c>
      <c r="D89" s="154" t="str">
        <f>'Data Input'!E24</f>
        <v>Sheep</v>
      </c>
      <c r="E89" s="154">
        <f>'Data Input'!G24</f>
        <v>0</v>
      </c>
      <c r="F89" s="154">
        <f>'Data Input'!F24</f>
        <v>0</v>
      </c>
      <c r="G89" s="154">
        <f>'Data Input'!F26</f>
        <v>0</v>
      </c>
      <c r="H89" s="154">
        <f>'Emission Factors'!$J$70</f>
        <v>0.01</v>
      </c>
      <c r="I89" s="154">
        <f>'Emission Factors'!$J$73</f>
        <v>0.21</v>
      </c>
      <c r="J89" s="154">
        <f>IFERROR(VLOOKUP(C89,'Emission Factors'!$C$33:$J$41,MATCH(D89,'Emission Factors'!$C$33:$J$33,0),FALSE),0)</f>
        <v>0.32</v>
      </c>
      <c r="K89" s="117">
        <v>1E-3</v>
      </c>
      <c r="L89" s="164">
        <f>E89*F89*G89*J89*K89*K89*'Emission Factors'!$P$12*I89*H89</f>
        <v>0</v>
      </c>
    </row>
    <row r="90" spans="3:21" ht="27" customHeight="1" x14ac:dyDescent="0.25">
      <c r="C90" s="154" t="str">
        <f>'Data Input'!$D$3</f>
        <v>Africa</v>
      </c>
      <c r="D90" s="154">
        <f>'Data Input'!E29</f>
        <v>0</v>
      </c>
      <c r="E90" s="154">
        <f>'Data Input'!G29</f>
        <v>0</v>
      </c>
      <c r="F90" s="154">
        <f>'Data Input'!F29</f>
        <v>0</v>
      </c>
      <c r="G90" s="154">
        <f>'Data Input'!F31</f>
        <v>0</v>
      </c>
      <c r="H90" s="154">
        <f>'Emission Factors'!$J$70</f>
        <v>0.01</v>
      </c>
      <c r="I90" s="154">
        <f>'Emission Factors'!$J$73</f>
        <v>0.21</v>
      </c>
      <c r="J90" s="154">
        <f>IFERROR(VLOOKUP(C90,'Emission Factors'!$C$33:$J$41,MATCH(D90,'Emission Factors'!$C$33:$J$33,0),FALSE),0)</f>
        <v>0</v>
      </c>
      <c r="K90" s="117">
        <v>1E-3</v>
      </c>
      <c r="L90" s="164">
        <f>E90*F90*G90*J90*K90*K90*'Emission Factors'!$P$12*I90*H90</f>
        <v>0</v>
      </c>
    </row>
    <row r="91" spans="3:21" ht="27" customHeight="1" x14ac:dyDescent="0.25">
      <c r="C91" s="154" t="str">
        <f>'Data Input'!$D$3</f>
        <v>Africa</v>
      </c>
      <c r="D91" s="154">
        <f>'Data Input'!E34</f>
        <v>0</v>
      </c>
      <c r="E91" s="154">
        <f>'Data Input'!G34</f>
        <v>0</v>
      </c>
      <c r="F91" s="154">
        <f>'Data Input'!F34</f>
        <v>0</v>
      </c>
      <c r="G91" s="154">
        <f>'Data Input'!F36</f>
        <v>0</v>
      </c>
      <c r="H91" s="154">
        <f>'Emission Factors'!$J$70</f>
        <v>0.01</v>
      </c>
      <c r="I91" s="154">
        <f>'Emission Factors'!$J$73</f>
        <v>0.21</v>
      </c>
      <c r="J91" s="154">
        <f>IFERROR(VLOOKUP(C91,'Emission Factors'!$C$33:$J$41,MATCH(D91,'Emission Factors'!$C$33:$J$33,0),FALSE),0)</f>
        <v>0</v>
      </c>
      <c r="K91" s="117">
        <v>1E-3</v>
      </c>
      <c r="L91" s="164">
        <f>E91*F91*G91*J91*K91*K91*'Emission Factors'!$P$12*I91*H91</f>
        <v>0</v>
      </c>
    </row>
    <row r="92" spans="3:21" ht="27" customHeight="1" x14ac:dyDescent="0.25">
      <c r="C92" s="154" t="str">
        <f>'Data Input'!$D$3</f>
        <v>Africa</v>
      </c>
      <c r="D92" s="154">
        <f>'Data Input'!E39</f>
        <v>0</v>
      </c>
      <c r="E92" s="154">
        <f>'Data Input'!G39</f>
        <v>0</v>
      </c>
      <c r="F92" s="154">
        <f>'Data Input'!F39</f>
        <v>0</v>
      </c>
      <c r="G92" s="154">
        <f>'Data Input'!F41</f>
        <v>0</v>
      </c>
      <c r="H92" s="154">
        <f>'Emission Factors'!$J$70</f>
        <v>0.01</v>
      </c>
      <c r="I92" s="154">
        <f>'Emission Factors'!$J$73</f>
        <v>0.21</v>
      </c>
      <c r="J92" s="154">
        <f>IFERROR(VLOOKUP(C92,'Emission Factors'!$C$33:$J$41,MATCH(D92,'Emission Factors'!$C$33:$J$33,0),FALSE),0)</f>
        <v>0</v>
      </c>
      <c r="K92" s="117">
        <v>1E-3</v>
      </c>
      <c r="L92" s="164">
        <f>E92*F92*G92*J92*K92*K92*'Emission Factors'!$P$12*I92*H92</f>
        <v>0</v>
      </c>
    </row>
    <row r="93" spans="3:21" ht="13.8" thickBot="1" x14ac:dyDescent="0.3"/>
    <row r="94" spans="3:21" ht="27" thickBot="1" x14ac:dyDescent="0.95">
      <c r="C94" s="389" t="s">
        <v>4</v>
      </c>
      <c r="D94" s="390"/>
      <c r="E94" s="390"/>
      <c r="F94" s="390"/>
      <c r="G94" s="390"/>
      <c r="H94" s="390"/>
      <c r="I94" s="390"/>
      <c r="J94" s="390"/>
      <c r="K94" s="390"/>
      <c r="L94" s="390"/>
      <c r="M94" s="390"/>
      <c r="N94" s="390"/>
      <c r="O94" s="391"/>
    </row>
    <row r="96" spans="3:21" ht="123.75" customHeight="1" x14ac:dyDescent="0.25">
      <c r="C96" s="155" t="s">
        <v>5</v>
      </c>
      <c r="D96" s="155" t="s">
        <v>9</v>
      </c>
      <c r="E96" s="155" t="s">
        <v>20</v>
      </c>
      <c r="F96" s="155" t="s">
        <v>265</v>
      </c>
      <c r="G96" s="155" t="s">
        <v>266</v>
      </c>
      <c r="H96" s="156" t="s">
        <v>179</v>
      </c>
      <c r="I96" s="156" t="s">
        <v>182</v>
      </c>
      <c r="J96" s="156" t="s">
        <v>269</v>
      </c>
      <c r="K96" s="159" t="s">
        <v>233</v>
      </c>
      <c r="L96" s="158" t="s">
        <v>274</v>
      </c>
    </row>
    <row r="97" spans="3:21" ht="36" customHeight="1" x14ac:dyDescent="0.25">
      <c r="C97" s="154" t="str">
        <f>'Data Input'!$D$3</f>
        <v>Africa</v>
      </c>
      <c r="D97" s="154" t="str">
        <f>'Data Input'!E19</f>
        <v>Sheep</v>
      </c>
      <c r="E97" s="154">
        <f>'Data Input'!K19</f>
        <v>0</v>
      </c>
      <c r="F97" s="154">
        <f>'Data Input'!F19</f>
        <v>0</v>
      </c>
      <c r="G97" s="154">
        <f>'Data Input'!J21</f>
        <v>0</v>
      </c>
      <c r="H97" s="154">
        <f>'Emission Factors'!$J$70</f>
        <v>0.01</v>
      </c>
      <c r="I97" s="154">
        <f>'Emission Factors'!$J$73</f>
        <v>0.21</v>
      </c>
      <c r="J97" s="154">
        <f>IFERROR(VLOOKUP(C97,'Emission Factors'!$C$33:$J$41,MATCH(D97,'Emission Factors'!$C$33:$J$33,0),FALSE),0)</f>
        <v>0.32</v>
      </c>
      <c r="K97" s="117">
        <v>1E-3</v>
      </c>
      <c r="L97" s="164">
        <f>E97*F97*G97*J97*K97*K97*'Emission Factors'!$P$12*I97*H97</f>
        <v>0</v>
      </c>
    </row>
    <row r="98" spans="3:21" ht="36" customHeight="1" x14ac:dyDescent="0.25">
      <c r="C98" s="154" t="str">
        <f>'Data Input'!$D$3</f>
        <v>Africa</v>
      </c>
      <c r="D98" s="154" t="str">
        <f>'Data Input'!E24</f>
        <v>Sheep</v>
      </c>
      <c r="E98" s="154">
        <f>'Data Input'!G24</f>
        <v>0</v>
      </c>
      <c r="F98" s="154">
        <f>'Data Input'!F24</f>
        <v>0</v>
      </c>
      <c r="G98" s="154">
        <f>'Data Input'!F26</f>
        <v>0</v>
      </c>
      <c r="H98" s="154">
        <f>'Emission Factors'!$J$70</f>
        <v>0.01</v>
      </c>
      <c r="I98" s="154">
        <f>'Emission Factors'!$J$73</f>
        <v>0.21</v>
      </c>
      <c r="J98" s="154">
        <f>IFERROR(VLOOKUP(C98,'Emission Factors'!$C$33:$J$41,MATCH(D98,'Emission Factors'!$C$33:$J$33,0),FALSE),0)</f>
        <v>0.32</v>
      </c>
      <c r="K98" s="117">
        <v>1E-3</v>
      </c>
      <c r="L98" s="164">
        <f>E98*F98*G98*J98*K98*K98*'Emission Factors'!$P$12*I98*H98</f>
        <v>0</v>
      </c>
    </row>
    <row r="99" spans="3:21" ht="36" customHeight="1" x14ac:dyDescent="0.25">
      <c r="C99" s="154" t="str">
        <f>'Data Input'!$D$3</f>
        <v>Africa</v>
      </c>
      <c r="D99" s="154">
        <f>'Data Input'!E29</f>
        <v>0</v>
      </c>
      <c r="E99" s="154">
        <f>'Data Input'!G29</f>
        <v>0</v>
      </c>
      <c r="F99" s="154">
        <f>'Data Input'!F29</f>
        <v>0</v>
      </c>
      <c r="G99" s="154">
        <f>'Data Input'!F31</f>
        <v>0</v>
      </c>
      <c r="H99" s="154">
        <f>'Emission Factors'!$J$70</f>
        <v>0.01</v>
      </c>
      <c r="I99" s="154">
        <f>'Emission Factors'!$J$73</f>
        <v>0.21</v>
      </c>
      <c r="J99" s="154">
        <f>IFERROR(VLOOKUP(C99,'Emission Factors'!$C$33:$J$41,MATCH(D99,'Emission Factors'!$C$33:$J$33,0),FALSE),0)</f>
        <v>0</v>
      </c>
      <c r="K99" s="117">
        <v>1E-3</v>
      </c>
      <c r="L99" s="164">
        <f>E99*F99*G99*J99*K99*K99*'Emission Factors'!$P$12*I99*H99</f>
        <v>0</v>
      </c>
    </row>
    <row r="100" spans="3:21" ht="36" customHeight="1" x14ac:dyDescent="0.25">
      <c r="C100" s="154" t="str">
        <f>'Data Input'!$D$3</f>
        <v>Africa</v>
      </c>
      <c r="D100" s="154">
        <f>'Data Input'!E34</f>
        <v>0</v>
      </c>
      <c r="E100" s="154">
        <f>'Data Input'!G34</f>
        <v>0</v>
      </c>
      <c r="F100" s="154">
        <f>'Data Input'!F34</f>
        <v>0</v>
      </c>
      <c r="G100" s="154">
        <f>'Data Input'!F36</f>
        <v>0</v>
      </c>
      <c r="H100" s="154">
        <f>'Emission Factors'!$J$70</f>
        <v>0.01</v>
      </c>
      <c r="I100" s="154">
        <f>'Emission Factors'!$J$73</f>
        <v>0.21</v>
      </c>
      <c r="J100" s="154">
        <f>IFERROR(VLOOKUP(C100,'Emission Factors'!$C$33:$J$41,MATCH(D100,'Emission Factors'!$C$33:$J$33,0),FALSE),0)</f>
        <v>0</v>
      </c>
      <c r="K100" s="117">
        <v>1E-3</v>
      </c>
      <c r="L100" s="164">
        <f>E100*F100*G100*J100*K100*K100*'Emission Factors'!$P$12*I100*H100</f>
        <v>0</v>
      </c>
    </row>
    <row r="101" spans="3:21" ht="36" customHeight="1" x14ac:dyDescent="0.25">
      <c r="C101" s="154" t="str">
        <f>'Data Input'!$D$3</f>
        <v>Africa</v>
      </c>
      <c r="D101" s="154">
        <f>'Data Input'!E39</f>
        <v>0</v>
      </c>
      <c r="E101" s="154">
        <f>'Data Input'!G39</f>
        <v>0</v>
      </c>
      <c r="F101" s="154">
        <f>'Data Input'!F39</f>
        <v>0</v>
      </c>
      <c r="G101" s="154">
        <f>'Data Input'!F41</f>
        <v>0</v>
      </c>
      <c r="H101" s="154">
        <f>'Emission Factors'!$J$70</f>
        <v>0.01</v>
      </c>
      <c r="I101" s="154">
        <f>'Emission Factors'!$J$73</f>
        <v>0.21</v>
      </c>
      <c r="J101" s="154">
        <f>IFERROR(VLOOKUP(C101,'Emission Factors'!$C$33:$J$41,MATCH(D101,'Emission Factors'!$C$33:$J$33,0),FALSE),0)</f>
        <v>0</v>
      </c>
      <c r="K101" s="117">
        <v>1E-3</v>
      </c>
      <c r="L101" s="164">
        <f>E101*F101*G101*J101*K101*K101*'Emission Factors'!$P$12*I101*H101</f>
        <v>0</v>
      </c>
    </row>
    <row r="103" spans="3:21" ht="13.8" thickBot="1" x14ac:dyDescent="0.3"/>
    <row r="104" spans="3:21" x14ac:dyDescent="0.25">
      <c r="C104" s="377" t="s">
        <v>281</v>
      </c>
      <c r="D104" s="378"/>
      <c r="E104" s="378"/>
      <c r="F104" s="378"/>
      <c r="G104" s="378"/>
      <c r="H104" s="378"/>
      <c r="I104" s="378"/>
      <c r="J104" s="378"/>
      <c r="K104" s="378"/>
      <c r="L104" s="378"/>
      <c r="M104" s="378"/>
      <c r="N104" s="378"/>
      <c r="O104" s="379"/>
    </row>
    <row r="105" spans="3:21" x14ac:dyDescent="0.25">
      <c r="C105" s="380"/>
      <c r="D105" s="381"/>
      <c r="E105" s="381"/>
      <c r="F105" s="381"/>
      <c r="G105" s="381"/>
      <c r="H105" s="381"/>
      <c r="I105" s="381"/>
      <c r="J105" s="381"/>
      <c r="K105" s="381"/>
      <c r="L105" s="381"/>
      <c r="M105" s="381"/>
      <c r="N105" s="381"/>
      <c r="O105" s="382"/>
    </row>
    <row r="106" spans="3:21" x14ac:dyDescent="0.25">
      <c r="C106" s="380"/>
      <c r="D106" s="381"/>
      <c r="E106" s="381"/>
      <c r="F106" s="381"/>
      <c r="G106" s="381"/>
      <c r="H106" s="381"/>
      <c r="I106" s="381"/>
      <c r="J106" s="381"/>
      <c r="K106" s="381"/>
      <c r="L106" s="381"/>
      <c r="M106" s="381"/>
      <c r="N106" s="381"/>
      <c r="O106" s="382"/>
    </row>
    <row r="107" spans="3:21" ht="13.8" thickBot="1" x14ac:dyDescent="0.3">
      <c r="C107" s="383"/>
      <c r="D107" s="384"/>
      <c r="E107" s="384"/>
      <c r="F107" s="384"/>
      <c r="G107" s="384"/>
      <c r="H107" s="384"/>
      <c r="I107" s="384"/>
      <c r="J107" s="384"/>
      <c r="K107" s="384"/>
      <c r="L107" s="384"/>
      <c r="M107" s="384"/>
      <c r="N107" s="384"/>
      <c r="O107" s="385"/>
    </row>
    <row r="108" spans="3:21" ht="13.8" thickBot="1" x14ac:dyDescent="0.3"/>
    <row r="109" spans="3:21" ht="27" thickBot="1" x14ac:dyDescent="0.3">
      <c r="C109" s="386" t="s">
        <v>3</v>
      </c>
      <c r="D109" s="387"/>
      <c r="E109" s="387"/>
      <c r="F109" s="387"/>
      <c r="G109" s="387"/>
      <c r="H109" s="387"/>
      <c r="I109" s="387"/>
      <c r="J109" s="387"/>
      <c r="K109" s="387"/>
      <c r="L109" s="387"/>
      <c r="M109" s="387"/>
      <c r="N109" s="387"/>
      <c r="O109" s="388"/>
    </row>
    <row r="111" spans="3:21" ht="125.25" customHeight="1" x14ac:dyDescent="0.25">
      <c r="C111" s="155" t="s">
        <v>5</v>
      </c>
      <c r="D111" s="155" t="s">
        <v>9</v>
      </c>
      <c r="E111" s="155" t="s">
        <v>20</v>
      </c>
      <c r="F111" s="155" t="s">
        <v>265</v>
      </c>
      <c r="G111" s="155" t="s">
        <v>266</v>
      </c>
      <c r="H111" s="156" t="s">
        <v>180</v>
      </c>
      <c r="I111" s="156" t="s">
        <v>183</v>
      </c>
      <c r="J111" s="156" t="s">
        <v>269</v>
      </c>
      <c r="K111" s="159" t="s">
        <v>233</v>
      </c>
      <c r="L111" s="158" t="s">
        <v>274</v>
      </c>
      <c r="S111" s="221" t="s">
        <v>282</v>
      </c>
      <c r="T111" s="221" t="s">
        <v>283</v>
      </c>
      <c r="U111" s="149" t="s">
        <v>249</v>
      </c>
    </row>
    <row r="112" spans="3:21" ht="32.25" customHeight="1" x14ac:dyDescent="0.25">
      <c r="C112" s="154" t="str">
        <f>'Data Input'!$D$3</f>
        <v>Africa</v>
      </c>
      <c r="D112" s="154" t="str">
        <f>'Data Input'!E19</f>
        <v>Sheep</v>
      </c>
      <c r="E112" s="154">
        <f>'Data Input'!G19</f>
        <v>0</v>
      </c>
      <c r="F112" s="154">
        <f>'Data Input'!F19</f>
        <v>0</v>
      </c>
      <c r="G112" s="154">
        <f>'Data Input'!F21</f>
        <v>0</v>
      </c>
      <c r="H112" s="154">
        <f>'Emission Factors'!$J$71</f>
        <v>1.0999999999999999E-2</v>
      </c>
      <c r="I112" s="154">
        <f>'Emission Factors'!$J$74</f>
        <v>0.24</v>
      </c>
      <c r="J112" s="154">
        <f>IFERROR(VLOOKUP(C112,'Emission Factors'!$C$33:$J$41,MATCH(D112,'Emission Factors'!$C$33:$J$33,0),FALSE),0)</f>
        <v>0.32</v>
      </c>
      <c r="K112" s="117">
        <v>1E-3</v>
      </c>
      <c r="L112" s="164">
        <f>E112*F112*G112*J112*K112*K112*'Emission Factors'!$P$12*I112*H112</f>
        <v>0</v>
      </c>
      <c r="S112" s="196">
        <f>SUM(L112:L116)*'Emission Factors'!$N$14</f>
        <v>0</v>
      </c>
      <c r="T112" s="196">
        <f>SUM(L121:L125)*'Emission Factors'!$N$14</f>
        <v>0</v>
      </c>
      <c r="U112" s="196">
        <f>IF(T112-S112&lt;0,0,T112-S112)</f>
        <v>0</v>
      </c>
    </row>
    <row r="113" spans="3:15" ht="32.25" customHeight="1" x14ac:dyDescent="0.25">
      <c r="C113" s="154" t="str">
        <f>'Data Input'!$D$3</f>
        <v>Africa</v>
      </c>
      <c r="D113" s="154" t="str">
        <f>'Data Input'!E24</f>
        <v>Sheep</v>
      </c>
      <c r="E113" s="154">
        <f>'Data Input'!G24</f>
        <v>0</v>
      </c>
      <c r="F113" s="154">
        <f>'Data Input'!F24</f>
        <v>0</v>
      </c>
      <c r="G113" s="154">
        <f>'Data Input'!F26</f>
        <v>0</v>
      </c>
      <c r="H113" s="154">
        <f>'Emission Factors'!$J$71</f>
        <v>1.0999999999999999E-2</v>
      </c>
      <c r="I113" s="154">
        <f>'Emission Factors'!$J$74</f>
        <v>0.24</v>
      </c>
      <c r="J113" s="154">
        <f>IFERROR(VLOOKUP(C113,'Emission Factors'!$C$33:$J$41,MATCH(D113,'Emission Factors'!$C$33:$J$33,0),FALSE),0)</f>
        <v>0.32</v>
      </c>
      <c r="K113" s="117">
        <v>1E-3</v>
      </c>
      <c r="L113" s="164">
        <f>E113*F113*G113*J113*K113*K113*'Emission Factors'!$P$12*I113*H113</f>
        <v>0</v>
      </c>
    </row>
    <row r="114" spans="3:15" ht="32.25" customHeight="1" x14ac:dyDescent="0.25">
      <c r="C114" s="154" t="str">
        <f>'Data Input'!$D$3</f>
        <v>Africa</v>
      </c>
      <c r="D114" s="154">
        <f>'Data Input'!E29</f>
        <v>0</v>
      </c>
      <c r="E114" s="154">
        <f>'Data Input'!G29</f>
        <v>0</v>
      </c>
      <c r="F114" s="154">
        <f>'Data Input'!F29</f>
        <v>0</v>
      </c>
      <c r="G114" s="154">
        <f>'Data Input'!F31</f>
        <v>0</v>
      </c>
      <c r="H114" s="154">
        <f>'Emission Factors'!$J$71</f>
        <v>1.0999999999999999E-2</v>
      </c>
      <c r="I114" s="154">
        <f>'Emission Factors'!$J$74</f>
        <v>0.24</v>
      </c>
      <c r="J114" s="154">
        <f>IFERROR(VLOOKUP(C114,'Emission Factors'!$C$33:$J$41,MATCH(D114,'Emission Factors'!$C$33:$J$33,0),FALSE),0)</f>
        <v>0</v>
      </c>
      <c r="K114" s="117">
        <v>1E-3</v>
      </c>
      <c r="L114" s="164">
        <f>E114*F114*G114*J114*K114*K114*'Emission Factors'!$P$12*I114*H114</f>
        <v>0</v>
      </c>
    </row>
    <row r="115" spans="3:15" ht="32.25" customHeight="1" x14ac:dyDescent="0.25">
      <c r="C115" s="154" t="str">
        <f>'Data Input'!$D$3</f>
        <v>Africa</v>
      </c>
      <c r="D115" s="154">
        <f>'Data Input'!E34</f>
        <v>0</v>
      </c>
      <c r="E115" s="154">
        <f>'Data Input'!G34</f>
        <v>0</v>
      </c>
      <c r="F115" s="154">
        <f>'Data Input'!F34</f>
        <v>0</v>
      </c>
      <c r="G115" s="154">
        <f>'Data Input'!F36</f>
        <v>0</v>
      </c>
      <c r="H115" s="154">
        <f>'Emission Factors'!$J$71</f>
        <v>1.0999999999999999E-2</v>
      </c>
      <c r="I115" s="154">
        <f>'Emission Factors'!$J$74</f>
        <v>0.24</v>
      </c>
      <c r="J115" s="154">
        <f>IFERROR(VLOOKUP(C115,'Emission Factors'!$C$33:$J$41,MATCH(D115,'Emission Factors'!$C$33:$J$33,0),FALSE),0)</f>
        <v>0</v>
      </c>
      <c r="K115" s="117">
        <v>1E-3</v>
      </c>
      <c r="L115" s="164">
        <f>E115*F115*G115*J115*K115*K115*'Emission Factors'!$P$12*I115*H115</f>
        <v>0</v>
      </c>
    </row>
    <row r="116" spans="3:15" ht="32.25" customHeight="1" x14ac:dyDescent="0.25">
      <c r="C116" s="154" t="str">
        <f>'Data Input'!$D$3</f>
        <v>Africa</v>
      </c>
      <c r="D116" s="154">
        <f>'Data Input'!E39</f>
        <v>0</v>
      </c>
      <c r="E116" s="154">
        <f>'Data Input'!G39</f>
        <v>0</v>
      </c>
      <c r="F116" s="154">
        <f>'Data Input'!F39</f>
        <v>0</v>
      </c>
      <c r="G116" s="154">
        <f>'Data Input'!F41</f>
        <v>0</v>
      </c>
      <c r="H116" s="154">
        <f>'Emission Factors'!$J$71</f>
        <v>1.0999999999999999E-2</v>
      </c>
      <c r="I116" s="154">
        <f>'Emission Factors'!$J$74</f>
        <v>0.24</v>
      </c>
      <c r="J116" s="154">
        <f>IFERROR(VLOOKUP(C116,'Emission Factors'!$C$33:$J$41,MATCH(D116,'Emission Factors'!$C$33:$J$33,0),FALSE),0)</f>
        <v>0</v>
      </c>
      <c r="K116" s="117">
        <v>1E-3</v>
      </c>
      <c r="L116" s="164">
        <f>E116*F116*G116*J116*K116*K116*'Emission Factors'!$P$12*I116*H116</f>
        <v>0</v>
      </c>
    </row>
    <row r="117" spans="3:15" ht="13.8" thickBot="1" x14ac:dyDescent="0.3"/>
    <row r="118" spans="3:15" ht="27" thickBot="1" x14ac:dyDescent="0.95">
      <c r="C118" s="389" t="s">
        <v>4</v>
      </c>
      <c r="D118" s="390"/>
      <c r="E118" s="390"/>
      <c r="F118" s="390"/>
      <c r="G118" s="390"/>
      <c r="H118" s="390"/>
      <c r="I118" s="390"/>
      <c r="J118" s="390"/>
      <c r="K118" s="390"/>
      <c r="L118" s="390"/>
      <c r="M118" s="390"/>
      <c r="N118" s="390"/>
      <c r="O118" s="391"/>
    </row>
    <row r="120" spans="3:15" ht="120" customHeight="1" x14ac:dyDescent="0.25">
      <c r="C120" s="155" t="s">
        <v>5</v>
      </c>
      <c r="D120" s="155" t="s">
        <v>9</v>
      </c>
      <c r="E120" s="155" t="s">
        <v>20</v>
      </c>
      <c r="F120" s="155" t="s">
        <v>265</v>
      </c>
      <c r="G120" s="155" t="s">
        <v>266</v>
      </c>
      <c r="H120" s="156" t="s">
        <v>180</v>
      </c>
      <c r="I120" s="156" t="s">
        <v>183</v>
      </c>
      <c r="J120" s="156" t="s">
        <v>269</v>
      </c>
      <c r="K120" s="159" t="s">
        <v>233</v>
      </c>
      <c r="L120" s="158" t="s">
        <v>274</v>
      </c>
    </row>
    <row r="121" spans="3:15" ht="41.25" customHeight="1" x14ac:dyDescent="0.25">
      <c r="C121" s="154" t="str">
        <f>'Data Input'!$D$3</f>
        <v>Africa</v>
      </c>
      <c r="D121" s="154" t="str">
        <f>'Data Input'!E19</f>
        <v>Sheep</v>
      </c>
      <c r="E121" s="154">
        <f>'Data Input'!K19</f>
        <v>0</v>
      </c>
      <c r="F121" s="154">
        <f>'Data Input'!J19</f>
        <v>0</v>
      </c>
      <c r="G121" s="154">
        <f>'Data Input'!J21</f>
        <v>0</v>
      </c>
      <c r="H121" s="154">
        <f>'Emission Factors'!$J$71</f>
        <v>1.0999999999999999E-2</v>
      </c>
      <c r="I121" s="154">
        <f>'Emission Factors'!$J$74</f>
        <v>0.24</v>
      </c>
      <c r="J121" s="154">
        <f>IFERROR(VLOOKUP(C121,'Emission Factors'!$C$33:$J$41,MATCH(D121,'Emission Factors'!$C$33:$J$33,0),FALSE),0)</f>
        <v>0.32</v>
      </c>
      <c r="K121" s="117">
        <v>1E-3</v>
      </c>
      <c r="L121" s="164">
        <f>E121*F121*G121*J121*K121*K121*'Emission Factors'!$P$12*I121*H121</f>
        <v>0</v>
      </c>
    </row>
    <row r="122" spans="3:15" ht="41.25" customHeight="1" x14ac:dyDescent="0.25">
      <c r="C122" s="154" t="str">
        <f>'Data Input'!$D$3</f>
        <v>Africa</v>
      </c>
      <c r="D122" s="154" t="str">
        <f>'Data Input'!E24</f>
        <v>Sheep</v>
      </c>
      <c r="E122" s="154">
        <f>'Data Input'!K24</f>
        <v>0</v>
      </c>
      <c r="F122" s="154">
        <f>'Data Input'!J24</f>
        <v>0</v>
      </c>
      <c r="G122" s="154">
        <f>'Data Input'!J26</f>
        <v>0</v>
      </c>
      <c r="H122" s="154">
        <f>'Emission Factors'!$J$71</f>
        <v>1.0999999999999999E-2</v>
      </c>
      <c r="I122" s="154">
        <f>'Emission Factors'!$J$74</f>
        <v>0.24</v>
      </c>
      <c r="J122" s="154">
        <f>IFERROR(VLOOKUP(C122,'Emission Factors'!$C$33:$J$41,MATCH(D122,'Emission Factors'!$C$33:$J$33,0),FALSE),0)</f>
        <v>0.32</v>
      </c>
      <c r="K122" s="117">
        <v>1E-3</v>
      </c>
      <c r="L122" s="164">
        <f>E122*F122*G122*J122*K122*K122*'Emission Factors'!$P$12*I122*H122</f>
        <v>0</v>
      </c>
    </row>
    <row r="123" spans="3:15" ht="41.25" customHeight="1" x14ac:dyDescent="0.25">
      <c r="C123" s="154" t="str">
        <f>'Data Input'!$D$3</f>
        <v>Africa</v>
      </c>
      <c r="D123" s="154">
        <f>'Data Input'!E29</f>
        <v>0</v>
      </c>
      <c r="E123" s="154">
        <f>'Data Input'!K29</f>
        <v>0</v>
      </c>
      <c r="F123" s="154">
        <f>'Data Input'!J29</f>
        <v>0</v>
      </c>
      <c r="G123" s="154">
        <f>'Data Input'!J31</f>
        <v>0</v>
      </c>
      <c r="H123" s="154">
        <f>'Emission Factors'!$J$71</f>
        <v>1.0999999999999999E-2</v>
      </c>
      <c r="I123" s="154">
        <f>'Emission Factors'!$J$74</f>
        <v>0.24</v>
      </c>
      <c r="J123" s="154">
        <f>IFERROR(VLOOKUP(C123,'Emission Factors'!$C$33:$J$41,MATCH(D123,'Emission Factors'!$C$33:$J$33,0),FALSE),0)</f>
        <v>0</v>
      </c>
      <c r="K123" s="117">
        <v>1E-3</v>
      </c>
      <c r="L123" s="164">
        <f>E123*F123*G123*J123*K123*K123*'Emission Factors'!$P$12*I123*H123</f>
        <v>0</v>
      </c>
    </row>
    <row r="124" spans="3:15" ht="41.25" customHeight="1" x14ac:dyDescent="0.25">
      <c r="C124" s="154" t="str">
        <f>'Data Input'!$D$3</f>
        <v>Africa</v>
      </c>
      <c r="D124" s="154">
        <f>'Data Input'!E34</f>
        <v>0</v>
      </c>
      <c r="E124" s="154">
        <f>'Data Input'!K34</f>
        <v>0</v>
      </c>
      <c r="F124" s="154">
        <f>'Data Input'!J34</f>
        <v>0</v>
      </c>
      <c r="G124" s="154">
        <f>'Data Input'!J36</f>
        <v>0</v>
      </c>
      <c r="H124" s="154">
        <f>'Emission Factors'!$J$71</f>
        <v>1.0999999999999999E-2</v>
      </c>
      <c r="I124" s="154">
        <f>'Emission Factors'!$J$74</f>
        <v>0.24</v>
      </c>
      <c r="J124" s="154">
        <f>IFERROR(VLOOKUP(C124,'Emission Factors'!$C$33:$J$41,MATCH(D124,'Emission Factors'!$C$33:$J$33,0),FALSE),0)</f>
        <v>0</v>
      </c>
      <c r="K124" s="117">
        <v>1E-3</v>
      </c>
      <c r="L124" s="164">
        <f>E124*F124*G124*J124*K124*K124*'Emission Factors'!$P$12*I124*H124</f>
        <v>0</v>
      </c>
    </row>
    <row r="125" spans="3:15" ht="41.25" customHeight="1" x14ac:dyDescent="0.25">
      <c r="C125" s="154" t="str">
        <f>'Data Input'!$D$3</f>
        <v>Africa</v>
      </c>
      <c r="D125" s="154">
        <f>'Data Input'!E39</f>
        <v>0</v>
      </c>
      <c r="E125" s="154">
        <f>'Data Input'!K39</f>
        <v>0</v>
      </c>
      <c r="F125" s="154">
        <f>'Data Input'!J39</f>
        <v>0</v>
      </c>
      <c r="G125" s="154">
        <f>'Data Input'!J41</f>
        <v>0</v>
      </c>
      <c r="H125" s="154">
        <f>'Emission Factors'!$J$71</f>
        <v>1.0999999999999999E-2</v>
      </c>
      <c r="I125" s="154">
        <f>'Emission Factors'!$J$74</f>
        <v>0.24</v>
      </c>
      <c r="J125" s="154">
        <f>IFERROR(VLOOKUP(C125,'Emission Factors'!$C$33:$J$41,MATCH(D125,'Emission Factors'!$C$33:$J$33,0),FALSE),0)</f>
        <v>0</v>
      </c>
      <c r="K125" s="117">
        <v>1E-3</v>
      </c>
      <c r="L125" s="164">
        <f>E125*F125*G125*J125*K125*K125*'Emission Factors'!$P$12*I125*H125</f>
        <v>0</v>
      </c>
    </row>
    <row r="126" spans="3:15" ht="33" customHeight="1" thickBot="1" x14ac:dyDescent="0.3"/>
    <row r="127" spans="3:15" x14ac:dyDescent="0.25">
      <c r="C127" s="377" t="s">
        <v>284</v>
      </c>
      <c r="D127" s="378"/>
      <c r="E127" s="378"/>
      <c r="F127" s="378"/>
      <c r="G127" s="378"/>
      <c r="H127" s="378"/>
      <c r="I127" s="378"/>
      <c r="J127" s="378"/>
      <c r="K127" s="378"/>
      <c r="L127" s="378"/>
      <c r="M127" s="378"/>
      <c r="N127" s="378"/>
      <c r="O127" s="379"/>
    </row>
    <row r="128" spans="3:15" x14ac:dyDescent="0.25">
      <c r="C128" s="380"/>
      <c r="D128" s="381"/>
      <c r="E128" s="381"/>
      <c r="F128" s="381"/>
      <c r="G128" s="381"/>
      <c r="H128" s="381"/>
      <c r="I128" s="381"/>
      <c r="J128" s="381"/>
      <c r="K128" s="381"/>
      <c r="L128" s="381"/>
      <c r="M128" s="381"/>
      <c r="N128" s="381"/>
      <c r="O128" s="382"/>
    </row>
    <row r="129" spans="3:29" x14ac:dyDescent="0.25">
      <c r="C129" s="380"/>
      <c r="D129" s="381"/>
      <c r="E129" s="381"/>
      <c r="F129" s="381"/>
      <c r="G129" s="381"/>
      <c r="H129" s="381"/>
      <c r="I129" s="381"/>
      <c r="J129" s="381"/>
      <c r="K129" s="381"/>
      <c r="L129" s="381"/>
      <c r="M129" s="381"/>
      <c r="N129" s="381"/>
      <c r="O129" s="382"/>
    </row>
    <row r="130" spans="3:29" ht="13.8" thickBot="1" x14ac:dyDescent="0.3">
      <c r="C130" s="383"/>
      <c r="D130" s="384"/>
      <c r="E130" s="384"/>
      <c r="F130" s="384"/>
      <c r="G130" s="384"/>
      <c r="H130" s="384"/>
      <c r="I130" s="384"/>
      <c r="J130" s="384"/>
      <c r="K130" s="384"/>
      <c r="L130" s="384"/>
      <c r="M130" s="384"/>
      <c r="N130" s="384"/>
      <c r="O130" s="385"/>
    </row>
    <row r="131" spans="3:29" ht="13.8" thickBot="1" x14ac:dyDescent="0.3"/>
    <row r="132" spans="3:29" ht="27" thickBot="1" x14ac:dyDescent="0.3">
      <c r="C132" s="386" t="s">
        <v>3</v>
      </c>
      <c r="D132" s="387"/>
      <c r="E132" s="387"/>
      <c r="F132" s="387"/>
      <c r="G132" s="387"/>
      <c r="H132" s="387"/>
      <c r="I132" s="387"/>
      <c r="J132" s="387"/>
      <c r="K132" s="387"/>
      <c r="L132" s="387"/>
      <c r="M132" s="387"/>
      <c r="N132" s="387"/>
      <c r="O132" s="388"/>
    </row>
    <row r="133" spans="3:29" ht="17.25" customHeight="1" x14ac:dyDescent="0.25"/>
    <row r="134" spans="3:29" ht="60" customHeight="1" x14ac:dyDescent="0.25">
      <c r="C134" s="155" t="s">
        <v>25</v>
      </c>
      <c r="D134" s="155" t="s">
        <v>26</v>
      </c>
      <c r="E134" s="155" t="s">
        <v>28</v>
      </c>
      <c r="F134" s="155" t="s">
        <v>29</v>
      </c>
      <c r="G134" s="155" t="s">
        <v>30</v>
      </c>
      <c r="H134" s="155" t="s">
        <v>32</v>
      </c>
      <c r="I134" s="155" t="s">
        <v>33</v>
      </c>
      <c r="J134" s="155" t="s">
        <v>34</v>
      </c>
      <c r="K134" s="155" t="s">
        <v>35</v>
      </c>
      <c r="L134" s="158" t="s">
        <v>274</v>
      </c>
      <c r="M134" s="158" t="s">
        <v>285</v>
      </c>
      <c r="N134" s="158" t="s">
        <v>286</v>
      </c>
      <c r="S134" s="221" t="s">
        <v>287</v>
      </c>
      <c r="T134" s="221" t="s">
        <v>288</v>
      </c>
      <c r="U134" s="149" t="s">
        <v>249</v>
      </c>
      <c r="W134" s="221" t="s">
        <v>289</v>
      </c>
      <c r="X134" s="221" t="s">
        <v>290</v>
      </c>
      <c r="Y134" s="149" t="s">
        <v>249</v>
      </c>
      <c r="AA134" s="221" t="s">
        <v>291</v>
      </c>
      <c r="AB134" s="221" t="s">
        <v>292</v>
      </c>
      <c r="AC134" s="149" t="s">
        <v>249</v>
      </c>
    </row>
    <row r="135" spans="3:29" ht="26.4" x14ac:dyDescent="0.25">
      <c r="C135" s="154" t="str">
        <f>'Data Input'!F44</f>
        <v xml:space="preserve">Ammonium nitrate (1:0:0) </v>
      </c>
      <c r="D135" s="154">
        <f>'Data Input'!G44</f>
        <v>0</v>
      </c>
      <c r="E135" s="154">
        <f>'Data Input'!F46</f>
        <v>0</v>
      </c>
      <c r="F135" s="154" t="str">
        <f>'Data Input'!F48</f>
        <v>Fertilizer 2</v>
      </c>
      <c r="G135" s="154">
        <f>'Data Input'!G48</f>
        <v>0</v>
      </c>
      <c r="H135" s="154">
        <f>'Data Input'!F50</f>
        <v>0</v>
      </c>
      <c r="I135" s="154">
        <f>'Data Input'!F52</f>
        <v>0</v>
      </c>
      <c r="J135" s="154">
        <f>'Data Input'!G52</f>
        <v>0</v>
      </c>
      <c r="K135" s="154">
        <f>'Data Input'!F54</f>
        <v>0</v>
      </c>
      <c r="L135" s="164">
        <f>((D135*E135)+(G135*H135)+(J135*K135))*'Emission Factors'!$H$82*'Emission Factors'!$P$12</f>
        <v>0</v>
      </c>
      <c r="M135" s="164">
        <f>((D135*E135)+(G135*H135)+(J135*K135))*'Emission Factors'!$P$12*'Emission Factors'!$J$70*'Emission Factors'!$J$72</f>
        <v>0</v>
      </c>
      <c r="N135" s="164">
        <f>((D135*E135)+(G135*H135)+(J135*K135))*'Emission Factors'!$P$12*'Emission Factors'!$J$71*'Emission Factors'!$J$74</f>
        <v>0</v>
      </c>
      <c r="S135" s="196">
        <f>L135*'Emission Factors'!$N$14</f>
        <v>0</v>
      </c>
      <c r="T135" s="196">
        <f>L140*'Emission Factors'!$N$14</f>
        <v>0</v>
      </c>
      <c r="U135" s="196">
        <f>T135-S135</f>
        <v>0</v>
      </c>
      <c r="W135" s="196">
        <f>M135*'Emission Factors'!$N$14</f>
        <v>0</v>
      </c>
      <c r="X135" s="196">
        <f>M140*'Emission Factors'!$N$14</f>
        <v>0</v>
      </c>
      <c r="Y135" s="196">
        <f>X135-W135</f>
        <v>0</v>
      </c>
      <c r="AA135" s="196">
        <f>N135*'Emission Factors'!$N$14</f>
        <v>0</v>
      </c>
      <c r="AB135" s="196">
        <f>N140*'Emission Factors'!$N$14</f>
        <v>0</v>
      </c>
      <c r="AC135" s="196">
        <f>AB135-AA135</f>
        <v>0</v>
      </c>
    </row>
    <row r="136" spans="3:29" ht="13.8" thickBot="1" x14ac:dyDescent="0.3"/>
    <row r="137" spans="3:29" ht="27" thickBot="1" x14ac:dyDescent="0.95">
      <c r="C137" s="389" t="s">
        <v>4</v>
      </c>
      <c r="D137" s="390"/>
      <c r="E137" s="390"/>
      <c r="F137" s="390"/>
      <c r="G137" s="390"/>
      <c r="H137" s="390"/>
      <c r="I137" s="390"/>
      <c r="J137" s="390"/>
      <c r="K137" s="390"/>
      <c r="L137" s="390"/>
      <c r="M137" s="390"/>
      <c r="N137" s="390"/>
      <c r="O137" s="391"/>
    </row>
    <row r="139" spans="3:29" ht="36" x14ac:dyDescent="0.25">
      <c r="C139" s="155" t="s">
        <v>25</v>
      </c>
      <c r="D139" s="155" t="s">
        <v>26</v>
      </c>
      <c r="E139" s="155" t="s">
        <v>28</v>
      </c>
      <c r="F139" s="155" t="s">
        <v>29</v>
      </c>
      <c r="G139" s="155" t="s">
        <v>30</v>
      </c>
      <c r="H139" s="155" t="s">
        <v>32</v>
      </c>
      <c r="I139" s="155" t="s">
        <v>33</v>
      </c>
      <c r="J139" s="155" t="s">
        <v>34</v>
      </c>
      <c r="K139" s="155" t="s">
        <v>35</v>
      </c>
      <c r="L139" s="158" t="s">
        <v>274</v>
      </c>
      <c r="M139" s="158" t="s">
        <v>285</v>
      </c>
      <c r="N139" s="158" t="s">
        <v>286</v>
      </c>
    </row>
    <row r="140" spans="3:29" ht="26.4" x14ac:dyDescent="0.25">
      <c r="C140" s="154" t="str">
        <f>'Data Input'!J44</f>
        <v xml:space="preserve">Ammonium nitrate (1:0:0) </v>
      </c>
      <c r="D140" s="154">
        <f>'Data Input'!K44</f>
        <v>0</v>
      </c>
      <c r="E140" s="154">
        <f>'Data Input'!J46</f>
        <v>0</v>
      </c>
      <c r="F140" s="154" t="str">
        <f>'Data Input'!J48</f>
        <v>Fertilizer 2</v>
      </c>
      <c r="G140" s="154">
        <f>'Data Input'!K48</f>
        <v>0</v>
      </c>
      <c r="H140" s="154">
        <f>'Data Input'!J50</f>
        <v>1.2</v>
      </c>
      <c r="I140" s="154">
        <f>'Data Input'!J52</f>
        <v>0</v>
      </c>
      <c r="J140" s="154">
        <f>'Data Input'!K52</f>
        <v>0</v>
      </c>
      <c r="K140" s="154">
        <f>'Data Input'!J54</f>
        <v>0</v>
      </c>
      <c r="L140" s="164">
        <f>((D140*E140)+(G140*H140)+(J140*K140))*'Emission Factors'!$H$82*'Emission Factors'!$P$12</f>
        <v>0</v>
      </c>
      <c r="M140" s="164">
        <f>((D140*E140)+(G140*H140)+(J140*K140))*'Emission Factors'!$P$12*'Emission Factors'!$J$70*'Emission Factors'!$J$72</f>
        <v>0</v>
      </c>
      <c r="N140" s="164">
        <f>((D140*E140)+(G140*H140)+(J140*K140))*'Emission Factors'!$P$12*'Emission Factors'!$J$71*'Emission Factors'!$J$74</f>
        <v>0</v>
      </c>
    </row>
    <row r="141" spans="3:29" ht="13.8" thickBot="1" x14ac:dyDescent="0.3"/>
    <row r="142" spans="3:29" x14ac:dyDescent="0.25">
      <c r="C142" s="377" t="s">
        <v>293</v>
      </c>
      <c r="D142" s="378"/>
      <c r="E142" s="378"/>
      <c r="F142" s="378"/>
      <c r="G142" s="378"/>
      <c r="H142" s="378"/>
      <c r="I142" s="378"/>
      <c r="J142" s="378"/>
      <c r="K142" s="378"/>
      <c r="L142" s="378"/>
      <c r="M142" s="378"/>
      <c r="N142" s="378"/>
      <c r="O142" s="379"/>
    </row>
    <row r="143" spans="3:29" ht="22.5" customHeight="1" x14ac:dyDescent="0.25">
      <c r="C143" s="380"/>
      <c r="D143" s="381"/>
      <c r="E143" s="381"/>
      <c r="F143" s="381"/>
      <c r="G143" s="381"/>
      <c r="H143" s="381"/>
      <c r="I143" s="381"/>
      <c r="J143" s="381"/>
      <c r="K143" s="381"/>
      <c r="L143" s="381"/>
      <c r="M143" s="381"/>
      <c r="N143" s="381"/>
      <c r="O143" s="382"/>
    </row>
    <row r="144" spans="3:29" x14ac:dyDescent="0.25">
      <c r="C144" s="380"/>
      <c r="D144" s="381"/>
      <c r="E144" s="381"/>
      <c r="F144" s="381"/>
      <c r="G144" s="381"/>
      <c r="H144" s="381"/>
      <c r="I144" s="381"/>
      <c r="J144" s="381"/>
      <c r="K144" s="381"/>
      <c r="L144" s="381"/>
      <c r="M144" s="381"/>
      <c r="N144" s="381"/>
      <c r="O144" s="382"/>
    </row>
    <row r="145" spans="3:29" ht="13.8" thickBot="1" x14ac:dyDescent="0.3">
      <c r="C145" s="383"/>
      <c r="D145" s="384"/>
      <c r="E145" s="384"/>
      <c r="F145" s="384"/>
      <c r="G145" s="384"/>
      <c r="H145" s="384"/>
      <c r="I145" s="384"/>
      <c r="J145" s="384"/>
      <c r="K145" s="384"/>
      <c r="L145" s="384"/>
      <c r="M145" s="384"/>
      <c r="N145" s="384"/>
      <c r="O145" s="385"/>
    </row>
    <row r="146" spans="3:29" ht="13.8" thickBot="1" x14ac:dyDescent="0.3"/>
    <row r="147" spans="3:29" ht="27" thickBot="1" x14ac:dyDescent="0.3">
      <c r="C147" s="386" t="s">
        <v>3</v>
      </c>
      <c r="D147" s="387"/>
      <c r="E147" s="387"/>
      <c r="F147" s="387"/>
      <c r="G147" s="387"/>
      <c r="H147" s="387"/>
      <c r="I147" s="387"/>
      <c r="J147" s="387"/>
      <c r="K147" s="387"/>
      <c r="L147" s="387"/>
      <c r="M147" s="387"/>
      <c r="N147" s="387"/>
      <c r="O147" s="388"/>
    </row>
    <row r="149" spans="3:29" ht="72" x14ac:dyDescent="0.25">
      <c r="C149" s="155" t="s">
        <v>37</v>
      </c>
      <c r="D149" s="155" t="s">
        <v>38</v>
      </c>
      <c r="E149" s="155" t="s">
        <v>39</v>
      </c>
      <c r="F149" s="155" t="s">
        <v>294</v>
      </c>
      <c r="G149" s="155" t="s">
        <v>295</v>
      </c>
      <c r="H149" s="155" t="s">
        <v>296</v>
      </c>
      <c r="I149" s="155" t="s">
        <v>297</v>
      </c>
      <c r="J149" s="156" t="s">
        <v>195</v>
      </c>
      <c r="K149" s="159" t="s">
        <v>233</v>
      </c>
      <c r="L149" s="158" t="s">
        <v>274</v>
      </c>
      <c r="M149" s="158" t="s">
        <v>285</v>
      </c>
      <c r="N149" s="158" t="s">
        <v>286</v>
      </c>
      <c r="S149" s="221" t="s">
        <v>298</v>
      </c>
      <c r="T149" s="221" t="s">
        <v>299</v>
      </c>
      <c r="U149" s="149" t="s">
        <v>249</v>
      </c>
      <c r="W149" s="221" t="s">
        <v>298</v>
      </c>
      <c r="X149" s="221" t="s">
        <v>299</v>
      </c>
      <c r="Y149" s="149" t="s">
        <v>249</v>
      </c>
      <c r="AA149" s="221" t="s">
        <v>298</v>
      </c>
      <c r="AB149" s="221" t="s">
        <v>299</v>
      </c>
      <c r="AC149" s="149" t="s">
        <v>249</v>
      </c>
    </row>
    <row r="150" spans="3:29" ht="30.75" customHeight="1" x14ac:dyDescent="0.25">
      <c r="C150" s="154">
        <f>'Data Input'!G55</f>
        <v>0</v>
      </c>
      <c r="D150" s="154">
        <f>'Data Input'!G56</f>
        <v>0</v>
      </c>
      <c r="E150" s="154">
        <f>'Data Input'!G57</f>
        <v>0</v>
      </c>
      <c r="F150" s="154">
        <f>'Data Input'!G59</f>
        <v>0</v>
      </c>
      <c r="G150" s="154">
        <f>'Data Input'!G60</f>
        <v>0</v>
      </c>
      <c r="H150" s="154">
        <f>'Data Input'!G61</f>
        <v>0</v>
      </c>
      <c r="I150" s="154">
        <f>'Data Input'!G62</f>
        <v>0</v>
      </c>
      <c r="J150" s="154">
        <f>'Emission Factors'!$D$98</f>
        <v>6.0000000000000001E-3</v>
      </c>
      <c r="K150" s="117">
        <v>1E-3</v>
      </c>
      <c r="L150" s="164">
        <f>(C150+D150-E150)*(((G150*0.004)+((F150+H150+I150)*0.006))/100)*J150*'Emission Factors'!$P$12</f>
        <v>0</v>
      </c>
      <c r="M150" s="164">
        <f>L150*'Emission Factors'!$J$70*'Emission Factors'!$J$73/J150</f>
        <v>0</v>
      </c>
      <c r="N150" s="164">
        <f>L150*'Emission Factors'!$J$71*'Emission Factors'!$J$74/J150</f>
        <v>0</v>
      </c>
      <c r="S150" s="196">
        <f>L150*'Emission Factors'!$N$14</f>
        <v>0</v>
      </c>
      <c r="T150" s="196">
        <f>L155*'Emission Factors'!$N$14</f>
        <v>0</v>
      </c>
      <c r="U150" s="196">
        <f>T150-S150</f>
        <v>0</v>
      </c>
      <c r="W150" s="196">
        <f>M150*'Emission Factors'!$N$14</f>
        <v>0</v>
      </c>
      <c r="X150" s="198">
        <f>M155*'Emission Factors'!$N$14</f>
        <v>0</v>
      </c>
      <c r="Y150" s="198">
        <f>X150-W150</f>
        <v>0</v>
      </c>
      <c r="AA150" s="198">
        <f>N150*'Emission Factors'!$N$14</f>
        <v>0</v>
      </c>
      <c r="AB150" s="198">
        <f>N155*'Emission Factors'!$N$14</f>
        <v>0</v>
      </c>
      <c r="AC150" s="198">
        <f>AB150-AA150</f>
        <v>0</v>
      </c>
    </row>
    <row r="151" spans="3:29" ht="13.8" thickBot="1" x14ac:dyDescent="0.3"/>
    <row r="152" spans="3:29" ht="27" thickBot="1" x14ac:dyDescent="0.95">
      <c r="C152" s="389" t="s">
        <v>4</v>
      </c>
      <c r="D152" s="390"/>
      <c r="E152" s="390"/>
      <c r="F152" s="390"/>
      <c r="G152" s="390"/>
      <c r="H152" s="390"/>
      <c r="I152" s="390"/>
      <c r="J152" s="390"/>
      <c r="K152" s="390"/>
      <c r="L152" s="390"/>
      <c r="M152" s="390"/>
      <c r="N152" s="390"/>
      <c r="O152" s="391"/>
    </row>
    <row r="154" spans="3:29" ht="72" x14ac:dyDescent="0.25">
      <c r="C154" s="155" t="s">
        <v>37</v>
      </c>
      <c r="D154" s="155" t="s">
        <v>38</v>
      </c>
      <c r="E154" s="155" t="s">
        <v>39</v>
      </c>
      <c r="F154" s="155" t="s">
        <v>294</v>
      </c>
      <c r="G154" s="155" t="s">
        <v>295</v>
      </c>
      <c r="H154" s="155" t="s">
        <v>296</v>
      </c>
      <c r="I154" s="155" t="s">
        <v>297</v>
      </c>
      <c r="J154" s="156" t="s">
        <v>195</v>
      </c>
      <c r="K154" s="159" t="s">
        <v>233</v>
      </c>
      <c r="L154" s="158" t="s">
        <v>274</v>
      </c>
      <c r="M154" s="158" t="s">
        <v>285</v>
      </c>
      <c r="N154" s="158" t="s">
        <v>286</v>
      </c>
    </row>
    <row r="155" spans="3:29" x14ac:dyDescent="0.25">
      <c r="C155" s="154">
        <f>'Data Input'!K55</f>
        <v>0</v>
      </c>
      <c r="D155" s="154">
        <f>'Data Input'!K56</f>
        <v>0</v>
      </c>
      <c r="E155" s="154">
        <f>'Data Input'!K57</f>
        <v>0</v>
      </c>
      <c r="F155" s="154">
        <f>'Data Input'!K59</f>
        <v>0</v>
      </c>
      <c r="G155" s="154">
        <f>'Data Input'!K60</f>
        <v>0</v>
      </c>
      <c r="H155" s="154">
        <f>'Data Input'!K61</f>
        <v>0</v>
      </c>
      <c r="I155" s="154">
        <f>'Data Input'!K62</f>
        <v>0</v>
      </c>
      <c r="J155" s="154">
        <f>'Emission Factors'!$D$98</f>
        <v>6.0000000000000001E-3</v>
      </c>
      <c r="K155" s="117">
        <v>1E-3</v>
      </c>
      <c r="L155" s="164">
        <f>(C155+D155-E155)*(((G155*0.004)+((F155+H155+I155)*0.006))/100)*J155*'Emission Factors'!$P$12</f>
        <v>0</v>
      </c>
      <c r="M155" s="164">
        <f>L155*'Emission Factors'!$J$70*'Emission Factors'!$J$73/J155</f>
        <v>0</v>
      </c>
      <c r="N155" s="164">
        <f>L155*'Emission Factors'!$J$71*'Emission Factors'!$J$74/J155</f>
        <v>0</v>
      </c>
    </row>
    <row r="156" spans="3:29" ht="13.8" thickBot="1" x14ac:dyDescent="0.3"/>
    <row r="157" spans="3:29" x14ac:dyDescent="0.25">
      <c r="C157" s="377" t="s">
        <v>300</v>
      </c>
      <c r="D157" s="378"/>
      <c r="E157" s="378"/>
      <c r="F157" s="378"/>
      <c r="G157" s="378"/>
      <c r="H157" s="378"/>
      <c r="I157" s="378"/>
      <c r="J157" s="378"/>
      <c r="K157" s="378"/>
      <c r="L157" s="378"/>
      <c r="M157" s="378"/>
      <c r="N157" s="378"/>
      <c r="O157" s="379"/>
    </row>
    <row r="158" spans="3:29" x14ac:dyDescent="0.25">
      <c r="C158" s="380"/>
      <c r="D158" s="381"/>
      <c r="E158" s="381"/>
      <c r="F158" s="381"/>
      <c r="G158" s="381"/>
      <c r="H158" s="381"/>
      <c r="I158" s="381"/>
      <c r="J158" s="381"/>
      <c r="K158" s="381"/>
      <c r="L158" s="381"/>
      <c r="M158" s="381"/>
      <c r="N158" s="381"/>
      <c r="O158" s="382"/>
    </row>
    <row r="159" spans="3:29" x14ac:dyDescent="0.25">
      <c r="C159" s="380"/>
      <c r="D159" s="381"/>
      <c r="E159" s="381"/>
      <c r="F159" s="381"/>
      <c r="G159" s="381"/>
      <c r="H159" s="381"/>
      <c r="I159" s="381"/>
      <c r="J159" s="381"/>
      <c r="K159" s="381"/>
      <c r="L159" s="381"/>
      <c r="M159" s="381"/>
      <c r="N159" s="381"/>
      <c r="O159" s="382"/>
    </row>
    <row r="160" spans="3:29" ht="13.8" thickBot="1" x14ac:dyDescent="0.3">
      <c r="C160" s="383"/>
      <c r="D160" s="384"/>
      <c r="E160" s="384"/>
      <c r="F160" s="384"/>
      <c r="G160" s="384"/>
      <c r="H160" s="384"/>
      <c r="I160" s="384"/>
      <c r="J160" s="384"/>
      <c r="K160" s="384"/>
      <c r="L160" s="384"/>
      <c r="M160" s="384"/>
      <c r="N160" s="384"/>
      <c r="O160" s="385"/>
    </row>
    <row r="161" spans="3:21" ht="13.8" thickBot="1" x14ac:dyDescent="0.3"/>
    <row r="162" spans="3:21" ht="27" thickBot="1" x14ac:dyDescent="0.3">
      <c r="C162" s="386" t="s">
        <v>3</v>
      </c>
      <c r="D162" s="387"/>
      <c r="E162" s="387"/>
      <c r="F162" s="387"/>
      <c r="G162" s="387"/>
      <c r="H162" s="387"/>
      <c r="I162" s="387"/>
      <c r="J162" s="387"/>
      <c r="K162" s="387"/>
      <c r="L162" s="387"/>
      <c r="M162" s="387"/>
      <c r="N162" s="387"/>
      <c r="O162" s="388"/>
    </row>
    <row r="164" spans="3:21" ht="106.5" customHeight="1" x14ac:dyDescent="0.25">
      <c r="C164" s="155" t="s">
        <v>46</v>
      </c>
      <c r="D164" s="155" t="s">
        <v>301</v>
      </c>
      <c r="E164" s="155" t="s">
        <v>215</v>
      </c>
      <c r="F164" s="155" t="s">
        <v>213</v>
      </c>
      <c r="G164" s="155" t="s">
        <v>214</v>
      </c>
      <c r="H164" s="156" t="s">
        <v>302</v>
      </c>
      <c r="I164" s="159" t="s">
        <v>303</v>
      </c>
      <c r="J164" s="159" t="s">
        <v>304</v>
      </c>
      <c r="K164" s="159" t="s">
        <v>305</v>
      </c>
      <c r="L164" s="158" t="s">
        <v>274</v>
      </c>
      <c r="S164" s="221" t="s">
        <v>306</v>
      </c>
      <c r="T164" s="221" t="s">
        <v>307</v>
      </c>
      <c r="U164" s="149" t="s">
        <v>249</v>
      </c>
    </row>
    <row r="165" spans="3:21" x14ac:dyDescent="0.25">
      <c r="C165" s="154" t="str">
        <f>'Data Input'!F65</f>
        <v>Generic Crops*</v>
      </c>
      <c r="D165" s="154">
        <f>'Data Input'!G65</f>
        <v>0</v>
      </c>
      <c r="E165" s="154">
        <f>IFERROR(VLOOKUP($C165,'Emission Factors'!$C$114:$F$135,4,0),0)</f>
        <v>0.85</v>
      </c>
      <c r="F165" s="154">
        <f>IFERROR(VLOOKUP($C165,'Emission Factors'!$C$114:$F$135,2,0),0)</f>
        <v>8.0000000000000002E-3</v>
      </c>
      <c r="G165" s="154">
        <f>IFERROR(VLOOKUP($C165,'Emission Factors'!$C$114:$F$135,3,0),0)</f>
        <v>8.9999999999999993E-3</v>
      </c>
      <c r="H165" s="154">
        <f>'Emission Factors'!$H$82</f>
        <v>0.01</v>
      </c>
      <c r="I165" s="154">
        <f>D165*E165</f>
        <v>0</v>
      </c>
      <c r="J165" s="154">
        <f>I165*F165</f>
        <v>0</v>
      </c>
      <c r="K165" s="154">
        <f>I165*G165</f>
        <v>0</v>
      </c>
      <c r="L165" s="196">
        <f>(J165+K165)*H165*'Emission Factors'!$P$12</f>
        <v>0</v>
      </c>
      <c r="S165" s="196">
        <f>(L165+L168+L171+L174)*'Emission Factors'!$N$14</f>
        <v>0</v>
      </c>
      <c r="T165" s="196">
        <f>(L179+L182+L185+L188)*'Emission Factors'!$N$14</f>
        <v>0</v>
      </c>
      <c r="U165" s="196">
        <f>IF(T165-S165&lt;0,0,T165-S165)</f>
        <v>0</v>
      </c>
    </row>
    <row r="167" spans="3:21" ht="94.5" customHeight="1" x14ac:dyDescent="0.25">
      <c r="C167" s="155" t="s">
        <v>46</v>
      </c>
      <c r="D167" s="155" t="s">
        <v>301</v>
      </c>
      <c r="E167" s="155" t="s">
        <v>215</v>
      </c>
      <c r="F167" s="155" t="s">
        <v>213</v>
      </c>
      <c r="G167" s="155" t="s">
        <v>214</v>
      </c>
      <c r="H167" s="156" t="s">
        <v>302</v>
      </c>
      <c r="I167" s="159" t="s">
        <v>303</v>
      </c>
      <c r="J167" s="159" t="s">
        <v>304</v>
      </c>
      <c r="K167" s="159" t="s">
        <v>305</v>
      </c>
      <c r="L167" s="158" t="s">
        <v>274</v>
      </c>
    </row>
    <row r="168" spans="3:21" x14ac:dyDescent="0.25">
      <c r="C168" s="154" t="str">
        <f>'Data Input'!F67</f>
        <v>Barley</v>
      </c>
      <c r="D168" s="154">
        <f>'Data Input'!G67</f>
        <v>0</v>
      </c>
      <c r="E168" s="154">
        <f>IFERROR(VLOOKUP($C168,'Emission Factors'!$C$114:$F$135,4,0),0)</f>
        <v>0.89</v>
      </c>
      <c r="F168" s="154">
        <f>IFERROR(VLOOKUP($C168,'Emission Factors'!$C$114:$F$135,2,0),0)</f>
        <v>7.0000000000000001E-3</v>
      </c>
      <c r="G168" s="154">
        <f>IFERROR(VLOOKUP($C168,'Emission Factors'!$C$114:$F$135,3,0),0)</f>
        <v>1.4E-2</v>
      </c>
      <c r="H168" s="154">
        <f>'Emission Factors'!$H$82</f>
        <v>0.01</v>
      </c>
      <c r="I168" s="154">
        <f>D168*E168</f>
        <v>0</v>
      </c>
      <c r="J168" s="154">
        <f>I168*F168</f>
        <v>0</v>
      </c>
      <c r="K168" s="154">
        <f>I168*G168</f>
        <v>0</v>
      </c>
      <c r="L168" s="196">
        <f>(J168+K168)*H168*'Emission Factors'!$P$12</f>
        <v>0</v>
      </c>
    </row>
    <row r="170" spans="3:21" ht="99.75" customHeight="1" x14ac:dyDescent="0.25">
      <c r="C170" s="155" t="s">
        <v>46</v>
      </c>
      <c r="D170" s="155" t="s">
        <v>301</v>
      </c>
      <c r="E170" s="155" t="s">
        <v>215</v>
      </c>
      <c r="F170" s="155" t="s">
        <v>213</v>
      </c>
      <c r="G170" s="155" t="s">
        <v>214</v>
      </c>
      <c r="H170" s="156" t="s">
        <v>302</v>
      </c>
      <c r="I170" s="159" t="s">
        <v>303</v>
      </c>
      <c r="J170" s="159" t="s">
        <v>304</v>
      </c>
      <c r="K170" s="159" t="s">
        <v>305</v>
      </c>
      <c r="L170" s="158" t="s">
        <v>274</v>
      </c>
    </row>
    <row r="171" spans="3:21" x14ac:dyDescent="0.25">
      <c r="C171" s="154" t="str">
        <f>'Data Input'!F69</f>
        <v>Grass-Clover Mixtures</v>
      </c>
      <c r="D171" s="154">
        <f>'Data Input'!G69</f>
        <v>0</v>
      </c>
      <c r="E171" s="154">
        <f>IFERROR(VLOOKUP($C171,'Emission Factors'!$C$114:$F$135,4,0),0)</f>
        <v>0.9</v>
      </c>
      <c r="F171" s="154">
        <f>IFERROR(VLOOKUP($C171,'Emission Factors'!$C$114:$F$135,2,0),0)</f>
        <v>2.5000000000000001E-2</v>
      </c>
      <c r="G171" s="154">
        <f>IFERROR(VLOOKUP($C171,'Emission Factors'!$C$114:$F$135,3,0),0)</f>
        <v>1.6E-2</v>
      </c>
      <c r="H171" s="154">
        <f>'Emission Factors'!$H$82</f>
        <v>0.01</v>
      </c>
      <c r="I171" s="154">
        <f>D171*E171</f>
        <v>0</v>
      </c>
      <c r="J171" s="154">
        <f>I171*F171</f>
        <v>0</v>
      </c>
      <c r="K171" s="154">
        <f>I171*G171</f>
        <v>0</v>
      </c>
      <c r="L171" s="196">
        <f>(J171+K171)*H171*'Emission Factors'!$P$12</f>
        <v>0</v>
      </c>
    </row>
    <row r="173" spans="3:21" ht="101.25" customHeight="1" x14ac:dyDescent="0.25">
      <c r="C173" s="155" t="s">
        <v>46</v>
      </c>
      <c r="D173" s="155" t="s">
        <v>301</v>
      </c>
      <c r="E173" s="155" t="s">
        <v>215</v>
      </c>
      <c r="F173" s="155" t="s">
        <v>213</v>
      </c>
      <c r="G173" s="155" t="s">
        <v>214</v>
      </c>
      <c r="H173" s="156" t="s">
        <v>302</v>
      </c>
      <c r="I173" s="159" t="s">
        <v>303</v>
      </c>
      <c r="J173" s="159" t="s">
        <v>304</v>
      </c>
      <c r="K173" s="159" t="s">
        <v>305</v>
      </c>
      <c r="L173" s="158" t="s">
        <v>274</v>
      </c>
    </row>
    <row r="174" spans="3:21" x14ac:dyDescent="0.25">
      <c r="C174" s="154" t="str">
        <f>'Data Input'!F71</f>
        <v>Beans and Pulses</v>
      </c>
      <c r="D174" s="154">
        <f>'Data Input'!G71</f>
        <v>0</v>
      </c>
      <c r="E174" s="154">
        <f>IFERROR(VLOOKUP($C174,'Emission Factors'!$C$114:$F$135,4,0),0)</f>
        <v>0.91</v>
      </c>
      <c r="F174" s="154">
        <f>IFERROR(VLOOKUP($C174,'Emission Factors'!$C$114:$F$135,2,0),0)</f>
        <v>8.0000000000000002E-3</v>
      </c>
      <c r="G174" s="154">
        <f>IFERROR(VLOOKUP($C174,'Emission Factors'!$C$114:$F$135,3,0),0)</f>
        <v>8.0000000000000002E-3</v>
      </c>
      <c r="H174" s="154">
        <f>'Emission Factors'!$H$82</f>
        <v>0.01</v>
      </c>
      <c r="I174" s="154">
        <f>D174*E174</f>
        <v>0</v>
      </c>
      <c r="J174" s="154">
        <f>I174*F174</f>
        <v>0</v>
      </c>
      <c r="K174" s="154">
        <f>I174*G174</f>
        <v>0</v>
      </c>
      <c r="L174" s="196">
        <f>(J174+K174)*H174*'Emission Factors'!$P$12</f>
        <v>0</v>
      </c>
    </row>
    <row r="175" spans="3:21" ht="13.8" thickBot="1" x14ac:dyDescent="0.3"/>
    <row r="176" spans="3:21" ht="27" thickBot="1" x14ac:dyDescent="0.95">
      <c r="C176" s="389" t="s">
        <v>4</v>
      </c>
      <c r="D176" s="390"/>
      <c r="E176" s="390"/>
      <c r="F176" s="390"/>
      <c r="G176" s="390"/>
      <c r="H176" s="390"/>
      <c r="I176" s="390"/>
      <c r="J176" s="390"/>
      <c r="K176" s="390"/>
      <c r="L176" s="390"/>
      <c r="M176" s="390"/>
      <c r="N176" s="390"/>
      <c r="O176" s="391"/>
    </row>
    <row r="178" spans="3:12" ht="94.5" customHeight="1" x14ac:dyDescent="0.25">
      <c r="C178" s="155" t="s">
        <v>46</v>
      </c>
      <c r="D178" s="155" t="s">
        <v>301</v>
      </c>
      <c r="E178" s="155" t="s">
        <v>215</v>
      </c>
      <c r="F178" s="155" t="s">
        <v>213</v>
      </c>
      <c r="G178" s="155" t="s">
        <v>214</v>
      </c>
      <c r="H178" s="156" t="s">
        <v>302</v>
      </c>
      <c r="I178" s="159" t="s">
        <v>303</v>
      </c>
      <c r="J178" s="159" t="s">
        <v>304</v>
      </c>
      <c r="K178" s="159" t="s">
        <v>305</v>
      </c>
      <c r="L178" s="158" t="s">
        <v>274</v>
      </c>
    </row>
    <row r="179" spans="3:12" x14ac:dyDescent="0.25">
      <c r="C179" s="154" t="str">
        <f>'Data Input'!F65</f>
        <v>Generic Crops*</v>
      </c>
      <c r="D179" s="154">
        <f>'Data Input'!J65</f>
        <v>0</v>
      </c>
      <c r="E179" s="154">
        <f>IFERROR(VLOOKUP($C179,'Emission Factors'!$C$114:$F$135,4,0),0)</f>
        <v>0.85</v>
      </c>
      <c r="F179" s="154">
        <f>IFERROR(VLOOKUP($C179,'Emission Factors'!$C$114:$F$135,2,0),0)</f>
        <v>8.0000000000000002E-3</v>
      </c>
      <c r="G179" s="154">
        <f>IFERROR(VLOOKUP($C179,'Emission Factors'!$C$114:$F$135,3,0),0)</f>
        <v>8.9999999999999993E-3</v>
      </c>
      <c r="H179" s="154">
        <f>'Emission Factors'!$H$82</f>
        <v>0.01</v>
      </c>
      <c r="I179" s="154">
        <f>D179*E179</f>
        <v>0</v>
      </c>
      <c r="J179" s="154">
        <f>I179*F179</f>
        <v>0</v>
      </c>
      <c r="K179" s="154">
        <f>I179*G179</f>
        <v>0</v>
      </c>
      <c r="L179" s="196">
        <f>(J179+K179)*H179*'Emission Factors'!$P$12</f>
        <v>0</v>
      </c>
    </row>
    <row r="181" spans="3:12" ht="105.75" customHeight="1" x14ac:dyDescent="0.25">
      <c r="C181" s="155" t="s">
        <v>46</v>
      </c>
      <c r="D181" s="155" t="s">
        <v>301</v>
      </c>
      <c r="E181" s="155" t="s">
        <v>215</v>
      </c>
      <c r="F181" s="155" t="s">
        <v>213</v>
      </c>
      <c r="G181" s="155" t="s">
        <v>214</v>
      </c>
      <c r="H181" s="156" t="s">
        <v>302</v>
      </c>
      <c r="I181" s="159" t="s">
        <v>303</v>
      </c>
      <c r="J181" s="159" t="s">
        <v>304</v>
      </c>
      <c r="K181" s="159" t="s">
        <v>305</v>
      </c>
      <c r="L181" s="158" t="s">
        <v>274</v>
      </c>
    </row>
    <row r="182" spans="3:12" x14ac:dyDescent="0.25">
      <c r="C182" s="154" t="str">
        <f>'Data Input'!F67</f>
        <v>Barley</v>
      </c>
      <c r="D182" s="154">
        <f>'Data Input'!J67</f>
        <v>0</v>
      </c>
      <c r="E182" s="154">
        <f>IFERROR(VLOOKUP($C182,'Emission Factors'!$C$114:$F$135,4,0),0)</f>
        <v>0.89</v>
      </c>
      <c r="F182" s="154">
        <f>IFERROR(VLOOKUP($C182,'Emission Factors'!$C$114:$F$135,2,0),0)</f>
        <v>7.0000000000000001E-3</v>
      </c>
      <c r="G182" s="154">
        <f>IFERROR(VLOOKUP($C182,'Emission Factors'!$C$114:$F$135,3,0),0)</f>
        <v>1.4E-2</v>
      </c>
      <c r="H182" s="154">
        <f>'Emission Factors'!$H$82</f>
        <v>0.01</v>
      </c>
      <c r="I182" s="154">
        <f>D182*E182</f>
        <v>0</v>
      </c>
      <c r="J182" s="154">
        <f>I182*F182</f>
        <v>0</v>
      </c>
      <c r="K182" s="154">
        <f>I182*G182</f>
        <v>0</v>
      </c>
      <c r="L182" s="196">
        <f>(J182+K182)*H182*'Emission Factors'!$P$12</f>
        <v>0</v>
      </c>
    </row>
    <row r="184" spans="3:12" ht="99.75" customHeight="1" x14ac:dyDescent="0.25">
      <c r="C184" s="155" t="s">
        <v>46</v>
      </c>
      <c r="D184" s="155" t="s">
        <v>301</v>
      </c>
      <c r="E184" s="155" t="s">
        <v>215</v>
      </c>
      <c r="F184" s="155" t="s">
        <v>213</v>
      </c>
      <c r="G184" s="155" t="s">
        <v>214</v>
      </c>
      <c r="H184" s="156" t="s">
        <v>302</v>
      </c>
      <c r="I184" s="159" t="s">
        <v>303</v>
      </c>
      <c r="J184" s="159" t="s">
        <v>304</v>
      </c>
      <c r="K184" s="159" t="s">
        <v>305</v>
      </c>
      <c r="L184" s="158" t="s">
        <v>274</v>
      </c>
    </row>
    <row r="185" spans="3:12" x14ac:dyDescent="0.25">
      <c r="C185" s="154" t="str">
        <f>'Data Input'!F69</f>
        <v>Grass-Clover Mixtures</v>
      </c>
      <c r="D185" s="154">
        <f>'Data Input'!J69</f>
        <v>0</v>
      </c>
      <c r="E185" s="154">
        <f>IFERROR(VLOOKUP($C185,'Emission Factors'!$C$114:$F$135,4,0),0)</f>
        <v>0.9</v>
      </c>
      <c r="F185" s="154">
        <f>IFERROR(VLOOKUP($C185,'Emission Factors'!$C$114:$F$135,2,0),0)</f>
        <v>2.5000000000000001E-2</v>
      </c>
      <c r="G185" s="154">
        <f>IFERROR(VLOOKUP($C185,'Emission Factors'!$C$114:$F$135,3,0),0)</f>
        <v>1.6E-2</v>
      </c>
      <c r="H185" s="154">
        <f>'Emission Factors'!$H$82</f>
        <v>0.01</v>
      </c>
      <c r="I185" s="154">
        <f>D185*E185</f>
        <v>0</v>
      </c>
      <c r="J185" s="154">
        <f>I185*F185</f>
        <v>0</v>
      </c>
      <c r="K185" s="154">
        <f>I185*G185</f>
        <v>0</v>
      </c>
      <c r="L185" s="196">
        <f>(J185+K185)*H185*'Emission Factors'!$P$12</f>
        <v>0</v>
      </c>
    </row>
    <row r="187" spans="3:12" ht="96.75" customHeight="1" x14ac:dyDescent="0.25">
      <c r="C187" s="155" t="s">
        <v>46</v>
      </c>
      <c r="D187" s="155" t="s">
        <v>301</v>
      </c>
      <c r="E187" s="155" t="s">
        <v>215</v>
      </c>
      <c r="F187" s="155" t="s">
        <v>213</v>
      </c>
      <c r="G187" s="155" t="s">
        <v>214</v>
      </c>
      <c r="H187" s="156" t="s">
        <v>302</v>
      </c>
      <c r="I187" s="159" t="s">
        <v>303</v>
      </c>
      <c r="J187" s="159" t="s">
        <v>304</v>
      </c>
      <c r="K187" s="159" t="s">
        <v>305</v>
      </c>
      <c r="L187" s="158" t="s">
        <v>274</v>
      </c>
    </row>
    <row r="188" spans="3:12" x14ac:dyDescent="0.25">
      <c r="C188" s="154" t="str">
        <f>'Data Input'!F71</f>
        <v>Beans and Pulses</v>
      </c>
      <c r="D188" s="154">
        <f>'Data Input'!J71</f>
        <v>0</v>
      </c>
      <c r="E188" s="154">
        <f>IFERROR(VLOOKUP($C188,'Emission Factors'!$C$114:$F$135,4,0),0)</f>
        <v>0.91</v>
      </c>
      <c r="F188" s="154">
        <f>IFERROR(VLOOKUP($C188,'Emission Factors'!$C$114:$F$135,2,0),0)</f>
        <v>8.0000000000000002E-3</v>
      </c>
      <c r="G188" s="154">
        <f>IFERROR(VLOOKUP($C188,'Emission Factors'!$C$114:$F$135,3,0),0)</f>
        <v>8.0000000000000002E-3</v>
      </c>
      <c r="H188" s="154">
        <f>'Emission Factors'!$H$82</f>
        <v>0.01</v>
      </c>
      <c r="I188" s="154">
        <f>D188*E188</f>
        <v>0</v>
      </c>
      <c r="J188" s="154">
        <f>I188*F188</f>
        <v>0</v>
      </c>
      <c r="K188" s="154">
        <f>I188*G188</f>
        <v>0</v>
      </c>
      <c r="L188" s="196">
        <f>(J188+K188)*H188*'Emission Factors'!$P$12</f>
        <v>0</v>
      </c>
    </row>
  </sheetData>
  <sheetProtection algorithmName="SHA-512" hashValue="h1Si2DxQhiM3AQ6MajAQ8I9JY2inA8gWFy/RiZu1teN5+DE9j68EsrZ8OXrjTadn8yyVRY2M5lbbEhzP2iMxRQ==" saltValue="mkGI9SQpetqlyJv35RjJfQ==" spinCount="100000" sheet="1" objects="1" scenarios="1"/>
  <mergeCells count="27">
    <mergeCell ref="C147:O147"/>
    <mergeCell ref="C152:O152"/>
    <mergeCell ref="C80:O83"/>
    <mergeCell ref="C85:O85"/>
    <mergeCell ref="C127:O130"/>
    <mergeCell ref="C132:O132"/>
    <mergeCell ref="C137:O137"/>
    <mergeCell ref="C94:O94"/>
    <mergeCell ref="C104:O107"/>
    <mergeCell ref="C109:O109"/>
    <mergeCell ref="C118:O118"/>
    <mergeCell ref="C157:O160"/>
    <mergeCell ref="C162:O162"/>
    <mergeCell ref="C176:O176"/>
    <mergeCell ref="C7:Q7"/>
    <mergeCell ref="C3:Q5"/>
    <mergeCell ref="C24:O27"/>
    <mergeCell ref="C15:Q15"/>
    <mergeCell ref="C70:O70"/>
    <mergeCell ref="C56:O59"/>
    <mergeCell ref="C61:O61"/>
    <mergeCell ref="C29:O29"/>
    <mergeCell ref="C34:O34"/>
    <mergeCell ref="C40:O43"/>
    <mergeCell ref="C45:H45"/>
    <mergeCell ref="J45:O45"/>
    <mergeCell ref="C142:O145"/>
  </mergeCells>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23"/>
  <sheetViews>
    <sheetView workbookViewId="0"/>
  </sheetViews>
  <sheetFormatPr defaultColWidth="9.109375" defaultRowHeight="13.2" x14ac:dyDescent="0.25"/>
  <cols>
    <col min="1" max="1" width="3.77734375" style="1" customWidth="1"/>
    <col min="2" max="2" width="29.33203125" style="1" customWidth="1"/>
    <col min="3" max="3" width="17" style="1" bestFit="1" customWidth="1"/>
    <col min="4" max="5" width="9.109375" style="1"/>
    <col min="6" max="6" width="31.109375" style="1" bestFit="1" customWidth="1"/>
    <col min="7" max="8" width="9.109375" style="1"/>
    <col min="9" max="9" width="19.5546875" style="1" bestFit="1" customWidth="1"/>
    <col min="10" max="16384" width="9.109375" style="1"/>
  </cols>
  <sheetData>
    <row r="2" spans="2:13" x14ac:dyDescent="0.25">
      <c r="B2" s="224" t="s">
        <v>321</v>
      </c>
      <c r="C2" s="224" t="s">
        <v>18</v>
      </c>
      <c r="D2" s="224"/>
      <c r="E2" s="224" t="s">
        <v>322</v>
      </c>
    </row>
    <row r="3" spans="2:13" x14ac:dyDescent="0.25">
      <c r="B3" s="1" t="s">
        <v>160</v>
      </c>
      <c r="C3" s="222" t="s">
        <v>155</v>
      </c>
      <c r="D3" s="1" t="s">
        <v>308</v>
      </c>
      <c r="E3" s="1" t="s">
        <v>13</v>
      </c>
      <c r="F3" s="2" t="s">
        <v>309</v>
      </c>
      <c r="I3" s="105" t="s">
        <v>48</v>
      </c>
    </row>
    <row r="4" spans="2:13" x14ac:dyDescent="0.25">
      <c r="B4" s="1" t="s">
        <v>7</v>
      </c>
      <c r="C4" s="222" t="s">
        <v>154</v>
      </c>
      <c r="D4" s="1" t="s">
        <v>310</v>
      </c>
      <c r="E4" s="1" t="s">
        <v>311</v>
      </c>
      <c r="F4" s="2" t="s">
        <v>312</v>
      </c>
      <c r="I4" s="105" t="s">
        <v>228</v>
      </c>
    </row>
    <row r="5" spans="2:13" x14ac:dyDescent="0.25">
      <c r="B5" s="1" t="s">
        <v>161</v>
      </c>
      <c r="C5" s="223" t="s">
        <v>157</v>
      </c>
      <c r="F5" s="2" t="s">
        <v>313</v>
      </c>
      <c r="I5" s="105" t="s">
        <v>51</v>
      </c>
    </row>
    <row r="6" spans="2:13" x14ac:dyDescent="0.25">
      <c r="B6" s="1" t="s">
        <v>162</v>
      </c>
      <c r="C6" s="223" t="s">
        <v>21</v>
      </c>
      <c r="F6" s="2" t="s">
        <v>314</v>
      </c>
      <c r="I6" s="105" t="s">
        <v>57</v>
      </c>
    </row>
    <row r="7" spans="2:13" x14ac:dyDescent="0.25">
      <c r="B7" s="1" t="s">
        <v>164</v>
      </c>
      <c r="C7" s="223" t="s">
        <v>156</v>
      </c>
      <c r="F7" s="2" t="s">
        <v>315</v>
      </c>
      <c r="I7" s="105" t="s">
        <v>216</v>
      </c>
    </row>
    <row r="8" spans="2:13" x14ac:dyDescent="0.25">
      <c r="B8" s="1" t="s">
        <v>165</v>
      </c>
      <c r="C8" s="223" t="s">
        <v>316</v>
      </c>
      <c r="F8" s="2" t="s">
        <v>317</v>
      </c>
      <c r="I8" s="105" t="s">
        <v>54</v>
      </c>
    </row>
    <row r="9" spans="2:13" x14ac:dyDescent="0.25">
      <c r="B9" s="1" t="s">
        <v>166</v>
      </c>
      <c r="F9" s="2" t="s">
        <v>318</v>
      </c>
      <c r="I9" s="105" t="s">
        <v>220</v>
      </c>
    </row>
    <row r="10" spans="2:13" x14ac:dyDescent="0.25">
      <c r="B10" s="1" t="s">
        <v>167</v>
      </c>
      <c r="I10" s="105" t="s">
        <v>223</v>
      </c>
    </row>
    <row r="11" spans="2:13" x14ac:dyDescent="0.25">
      <c r="I11" s="105" t="s">
        <v>230</v>
      </c>
    </row>
    <row r="12" spans="2:13" x14ac:dyDescent="0.25">
      <c r="I12" s="105" t="s">
        <v>231</v>
      </c>
    </row>
    <row r="13" spans="2:13" x14ac:dyDescent="0.25">
      <c r="I13" s="105" t="s">
        <v>229</v>
      </c>
    </row>
    <row r="14" spans="2:13" x14ac:dyDescent="0.25">
      <c r="I14" s="105" t="s">
        <v>219</v>
      </c>
    </row>
    <row r="15" spans="2:13" x14ac:dyDescent="0.25">
      <c r="I15" s="105" t="s">
        <v>227</v>
      </c>
      <c r="M15" s="1" t="s">
        <v>160</v>
      </c>
    </row>
    <row r="16" spans="2:13" x14ac:dyDescent="0.25">
      <c r="I16" s="105" t="s">
        <v>232</v>
      </c>
      <c r="M16" s="1" t="s">
        <v>7</v>
      </c>
    </row>
    <row r="17" spans="9:13" x14ac:dyDescent="0.25">
      <c r="I17" s="105" t="s">
        <v>226</v>
      </c>
      <c r="M17" s="1" t="s">
        <v>161</v>
      </c>
    </row>
    <row r="18" spans="9:13" x14ac:dyDescent="0.25">
      <c r="I18" s="105" t="s">
        <v>222</v>
      </c>
      <c r="M18" s="1" t="s">
        <v>162</v>
      </c>
    </row>
    <row r="19" spans="9:13" x14ac:dyDescent="0.25">
      <c r="I19" s="105" t="s">
        <v>221</v>
      </c>
      <c r="M19" s="1" t="s">
        <v>164</v>
      </c>
    </row>
    <row r="20" spans="9:13" x14ac:dyDescent="0.25">
      <c r="I20" s="105" t="s">
        <v>224</v>
      </c>
      <c r="M20" s="1" t="s">
        <v>165</v>
      </c>
    </row>
    <row r="21" spans="9:13" x14ac:dyDescent="0.25">
      <c r="I21" s="105" t="s">
        <v>225</v>
      </c>
      <c r="M21" s="1" t="s">
        <v>166</v>
      </c>
    </row>
    <row r="22" spans="9:13" x14ac:dyDescent="0.25">
      <c r="I22" s="105" t="s">
        <v>218</v>
      </c>
      <c r="M22" s="1" t="s">
        <v>167</v>
      </c>
    </row>
    <row r="23" spans="9:13" x14ac:dyDescent="0.25">
      <c r="I23" s="105" t="s">
        <v>217</v>
      </c>
    </row>
  </sheetData>
  <sortState xmlns:xlrd2="http://schemas.microsoft.com/office/spreadsheetml/2017/richdata2" ref="I4:I23">
    <sortCondition ref="I4"/>
  </sortState>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2:B3"/>
  <sheetViews>
    <sheetView workbookViewId="0">
      <selection sqref="A1:XFD1048576"/>
    </sheetView>
  </sheetViews>
  <sheetFormatPr defaultColWidth="2.44140625" defaultRowHeight="13.2" x14ac:dyDescent="0.25"/>
  <cols>
    <col min="1" max="16384" width="2.44140625" style="1"/>
  </cols>
  <sheetData>
    <row r="2" spans="2:2" x14ac:dyDescent="0.25">
      <c r="B2" s="2" t="s">
        <v>319</v>
      </c>
    </row>
    <row r="3" spans="2:2" x14ac:dyDescent="0.25">
      <c r="B3" s="2" t="s">
        <v>320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171f0a3-1320-4216-8658-78482218ef3c" xsi:nil="true"/>
    <lcf76f155ced4ddcb4097134ff3c332f xmlns="6fc90d01-e02c-4052-924b-cee46ca34dbe">
      <Terms xmlns="http://schemas.microsoft.com/office/infopath/2007/PartnerControls"/>
    </lcf76f155ced4ddcb4097134ff3c332f>
    <MediaLengthInSeconds xmlns="6fc90d01-e02c-4052-924b-cee46ca34db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B074FDA90E8B44AEFC7D2E643BCA83" ma:contentTypeVersion="14" ma:contentTypeDescription="Create a new document." ma:contentTypeScope="" ma:versionID="f64c68cc830b2f0ce44f37e980c6a423">
  <xsd:schema xmlns:xsd="http://www.w3.org/2001/XMLSchema" xmlns:xs="http://www.w3.org/2001/XMLSchema" xmlns:p="http://schemas.microsoft.com/office/2006/metadata/properties" xmlns:ns2="6fc90d01-e02c-4052-924b-cee46ca34dbe" xmlns:ns3="5171f0a3-1320-4216-8658-78482218ef3c" targetNamespace="http://schemas.microsoft.com/office/2006/metadata/properties" ma:root="true" ma:fieldsID="b839aaf6b69bab8f3349e17c94d6d264" ns2:_="" ns3:_="">
    <xsd:import namespace="6fc90d01-e02c-4052-924b-cee46ca34dbe"/>
    <xsd:import namespace="5171f0a3-1320-4216-8658-78482218ef3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c90d01-e02c-4052-924b-cee46ca34d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bce482b6-cd83-4044-a9ba-587162e7af8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71f0a3-1320-4216-8658-78482218ef3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d8f3d9e-73d2-40f0-8e8d-8d8bba259596}" ma:internalName="TaxCatchAll" ma:showField="CatchAllData" ma:web="5171f0a3-1320-4216-8658-78482218ef3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08556A-BDED-422A-A351-77254300AF0A}">
  <ds:schemaRefs>
    <ds:schemaRef ds:uri="http://schemas.openxmlformats.org/package/2006/metadata/core-properties"/>
    <ds:schemaRef ds:uri="6fc90d01-e02c-4052-924b-cee46ca34dbe"/>
    <ds:schemaRef ds:uri="http://schemas.microsoft.com/office/2006/documentManagement/types"/>
    <ds:schemaRef ds:uri="http://www.w3.org/XML/1998/namespace"/>
    <ds:schemaRef ds:uri="5171f0a3-1320-4216-8658-78482218ef3c"/>
    <ds:schemaRef ds:uri="http://schemas.microsoft.com/office/2006/metadata/properties"/>
    <ds:schemaRef ds:uri="http://purl.org/dc/elements/1.1/"/>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AEF3197D-C4FA-462E-9086-4485DA7EFB95}">
  <ds:schemaRefs>
    <ds:schemaRef ds:uri="http://schemas.microsoft.com/sharepoint/v3/contenttype/forms"/>
  </ds:schemaRefs>
</ds:datastoreItem>
</file>

<file path=customXml/itemProps3.xml><?xml version="1.0" encoding="utf-8"?>
<ds:datastoreItem xmlns:ds="http://schemas.openxmlformats.org/officeDocument/2006/customXml" ds:itemID="{E8AF51AF-BEAA-43F9-927D-59EA81E9D2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Data Input</vt:lpstr>
      <vt:lpstr>Carbon Estimates</vt:lpstr>
      <vt:lpstr>Financial Estimates</vt:lpstr>
      <vt:lpstr>Emission Factors</vt:lpstr>
      <vt:lpstr>Calculations</vt:lpstr>
      <vt:lpstr>Lists</vt:lpstr>
      <vt:lpstr>List</vt:lpstr>
    </vt:vector>
  </TitlesOfParts>
  <Manager/>
  <Company>BEF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BEF</dc:creator>
  <cp:keywords/>
  <dc:description/>
  <cp:lastModifiedBy>Mike Davies (Co-Restore)</cp:lastModifiedBy>
  <cp:revision/>
  <dcterms:created xsi:type="dcterms:W3CDTF">2008-03-26T15:41:32Z</dcterms:created>
  <dcterms:modified xsi:type="dcterms:W3CDTF">2024-01-15T14:04:35Z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0x0101002DB074FDA90E8B44AEFC7D2E643BCA83</vt:lpwstr>
  </property>
  <property fmtid="{D5CDD505-2E9C-101B-9397-08002B2CF9AE}" pid="3" name="MediaServiceImageTags">
    <vt:lpwstr/>
  </property>
  <property fmtid="{D5CDD505-2E9C-101B-9397-08002B2CF9AE}" pid="4" name="Order">
    <vt:r8>121800</vt:r8>
  </property>
  <property fmtid="{D5CDD505-2E9C-101B-9397-08002B2CF9AE}" pid="5" name="_ExtendedDescription">
    <vt:lpwstr/>
  </property>
  <property fmtid="{D5CDD505-2E9C-101B-9397-08002B2CF9AE}" pid="6" name="TriggerFlowInfo">
    <vt:lpwstr/>
  </property>
  <property fmtid="{D5CDD505-2E9C-101B-9397-08002B2CF9AE}" pid="7" name="ComplianceAssetId">
    <vt:lpwstr/>
  </property>
  <property fmtid="{D5CDD505-2E9C-101B-9397-08002B2CF9AE}" pid="8" name="xd_ProgID">
    <vt:lpwstr/>
  </property>
  <property fmtid="{D5CDD505-2E9C-101B-9397-08002B2CF9AE}" pid="9" name="TemplateUrl">
    <vt:lpwstr/>
  </property>
  <property fmtid="{D5CDD505-2E9C-101B-9397-08002B2CF9AE}" pid="10" name="xd_Signature">
    <vt:bool>false</vt:bool>
  </property>
</Properties>
</file>